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nis\Desktop\qarman\#SVN\Decoding\"/>
    </mc:Choice>
  </mc:AlternateContent>
  <xr:revisionPtr revIDLastSave="0" documentId="13_ncr:1_{336B2D3C-EFB9-4A37-B28E-5A94439C5FF3}" xr6:coauthVersionLast="36" xr6:coauthVersionMax="36" xr10:uidLastSave="{00000000-0000-0000-0000-000000000000}"/>
  <bookViews>
    <workbookView xWindow="0" yWindow="0" windowWidth="28800" windowHeight="11325" xr2:uid="{9FF58A15-FC33-48DD-8640-404ABB65AAB4}"/>
  </bookViews>
  <sheets>
    <sheet name="BeaconDecoder" sheetId="1" r:id="rId1"/>
    <sheet name="LookupTables" sheetId="2" r:id="rId2"/>
    <sheet name="ExamplesBCN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A3" i="1" l="1"/>
  <c r="CB6" i="1" l="1"/>
  <c r="CB7" i="1" s="1"/>
  <c r="B26" i="1"/>
  <c r="K14" i="1"/>
  <c r="K13" i="1"/>
  <c r="Q6" i="1" l="1"/>
  <c r="Q7" i="1" s="1"/>
  <c r="AG6" i="1"/>
  <c r="AG7" i="1" s="1"/>
  <c r="E6" i="1"/>
  <c r="E7" i="1" s="1"/>
  <c r="U6" i="1"/>
  <c r="U7" i="1" s="1"/>
  <c r="AK6" i="1"/>
  <c r="AK7" i="1" s="1"/>
  <c r="BA6" i="1"/>
  <c r="BA7" i="1" s="1"/>
  <c r="BQ6" i="1"/>
  <c r="BQ7" i="1" s="1"/>
  <c r="AW6" i="1"/>
  <c r="AW7" i="1" s="1"/>
  <c r="BM6" i="1"/>
  <c r="BM7" i="1" s="1"/>
  <c r="I6" i="1"/>
  <c r="I7" i="1" s="1"/>
  <c r="Y6" i="1"/>
  <c r="Y7" i="1" s="1"/>
  <c r="AO6" i="1"/>
  <c r="AO7" i="1" s="1"/>
  <c r="BE6" i="1"/>
  <c r="BE7" i="1" s="1"/>
  <c r="BU6" i="1"/>
  <c r="BU7" i="1" s="1"/>
  <c r="M6" i="1"/>
  <c r="M7" i="1" s="1"/>
  <c r="AC6" i="1"/>
  <c r="AC7" i="1" s="1"/>
  <c r="AS6" i="1"/>
  <c r="AS7" i="1" s="1"/>
  <c r="BI6" i="1"/>
  <c r="BI7" i="1" s="1"/>
  <c r="BY6" i="1"/>
  <c r="BY7" i="1" s="1"/>
  <c r="C6" i="1"/>
  <c r="C7" i="1" s="1"/>
  <c r="G6" i="1"/>
  <c r="G7" i="1" s="1"/>
  <c r="K6" i="1"/>
  <c r="K7" i="1" s="1"/>
  <c r="O6" i="1"/>
  <c r="O7" i="1" s="1"/>
  <c r="S6" i="1"/>
  <c r="S7" i="1" s="1"/>
  <c r="W6" i="1"/>
  <c r="W7" i="1" s="1"/>
  <c r="AA6" i="1"/>
  <c r="AA7" i="1" s="1"/>
  <c r="AE6" i="1"/>
  <c r="AE7" i="1" s="1"/>
  <c r="AI6" i="1"/>
  <c r="AI7" i="1" s="1"/>
  <c r="AM6" i="1"/>
  <c r="AM7" i="1" s="1"/>
  <c r="AQ6" i="1"/>
  <c r="AQ7" i="1" s="1"/>
  <c r="AU6" i="1"/>
  <c r="AU7" i="1" s="1"/>
  <c r="AY6" i="1"/>
  <c r="AY7" i="1" s="1"/>
  <c r="BC6" i="1"/>
  <c r="BC7" i="1" s="1"/>
  <c r="BG6" i="1"/>
  <c r="BG7" i="1" s="1"/>
  <c r="BK6" i="1"/>
  <c r="BK7" i="1" s="1"/>
  <c r="BO6" i="1"/>
  <c r="BO7" i="1" s="1"/>
  <c r="BS6" i="1"/>
  <c r="BS7" i="1" s="1"/>
  <c r="BW6" i="1"/>
  <c r="BW7" i="1" s="1"/>
  <c r="CA6" i="1"/>
  <c r="CA7" i="1" s="1"/>
  <c r="B6" i="1"/>
  <c r="B7" i="1" s="1"/>
  <c r="C10" i="1" s="1"/>
  <c r="E10" i="1" s="1"/>
  <c r="F10" i="1" s="1"/>
  <c r="F6" i="1"/>
  <c r="F7" i="1" s="1"/>
  <c r="C13" i="1" s="1"/>
  <c r="E13" i="1" s="1"/>
  <c r="F13" i="1" s="1"/>
  <c r="G13" i="1" s="1"/>
  <c r="J6" i="1"/>
  <c r="J7" i="1" s="1"/>
  <c r="C16" i="1" s="1"/>
  <c r="E16" i="1" s="1"/>
  <c r="F16" i="1" s="1"/>
  <c r="G16" i="1" s="1"/>
  <c r="N6" i="1"/>
  <c r="N7" i="1" s="1"/>
  <c r="R6" i="1"/>
  <c r="R7" i="1" s="1"/>
  <c r="C21" i="1" s="1"/>
  <c r="E21" i="1" s="1"/>
  <c r="G21" i="1" s="1"/>
  <c r="V6" i="1"/>
  <c r="V7" i="1" s="1"/>
  <c r="Z6" i="1"/>
  <c r="Z7" i="1" s="1"/>
  <c r="C31" i="1" s="1"/>
  <c r="E31" i="1" s="1"/>
  <c r="F31" i="1" s="1"/>
  <c r="G31" i="1" s="1"/>
  <c r="AD6" i="1"/>
  <c r="AD7" i="1" s="1"/>
  <c r="C34" i="1" s="1"/>
  <c r="E34" i="1" s="1"/>
  <c r="F34" i="1" s="1"/>
  <c r="G34" i="1" s="1"/>
  <c r="AH6" i="1"/>
  <c r="AH7" i="1" s="1"/>
  <c r="C37" i="1" s="1"/>
  <c r="E37" i="1" s="1"/>
  <c r="F37" i="1" s="1"/>
  <c r="G37" i="1" s="1"/>
  <c r="AL6" i="1"/>
  <c r="AL7" i="1" s="1"/>
  <c r="C40" i="1" s="1"/>
  <c r="E40" i="1" s="1"/>
  <c r="F40" i="1" s="1"/>
  <c r="G40" i="1" s="1"/>
  <c r="AP6" i="1"/>
  <c r="AP7" i="1" s="1"/>
  <c r="AT6" i="1"/>
  <c r="AT7" i="1" s="1"/>
  <c r="C47" i="1" s="1"/>
  <c r="E47" i="1" s="1"/>
  <c r="F47" i="1" s="1"/>
  <c r="G47" i="1" s="1"/>
  <c r="AX6" i="1"/>
  <c r="AX7" i="1" s="1"/>
  <c r="BB6" i="1"/>
  <c r="BB7" i="1" s="1"/>
  <c r="C51" i="1" s="1"/>
  <c r="E51" i="1" s="1"/>
  <c r="F51" i="1" s="1"/>
  <c r="G51" i="1" s="1"/>
  <c r="BF6" i="1"/>
  <c r="BF7" i="1" s="1"/>
  <c r="BJ6" i="1"/>
  <c r="BJ7" i="1" s="1"/>
  <c r="C55" i="1" s="1"/>
  <c r="E55" i="1" s="1"/>
  <c r="F55" i="1" s="1"/>
  <c r="G55" i="1" s="1"/>
  <c r="BN6" i="1"/>
  <c r="BN7" i="1" s="1"/>
  <c r="C57" i="1" s="1"/>
  <c r="E57" i="1" s="1"/>
  <c r="F57" i="1" s="1"/>
  <c r="G57" i="1" s="1"/>
  <c r="BR6" i="1"/>
  <c r="BR7" i="1" s="1"/>
  <c r="BV6" i="1"/>
  <c r="BV7" i="1" s="1"/>
  <c r="BZ6" i="1"/>
  <c r="BZ7" i="1" s="1"/>
  <c r="D6" i="1"/>
  <c r="D7" i="1" s="1"/>
  <c r="H6" i="1"/>
  <c r="H7" i="1" s="1"/>
  <c r="C15" i="1" s="1"/>
  <c r="E15" i="1" s="1"/>
  <c r="G15" i="1" s="1"/>
  <c r="L6" i="1"/>
  <c r="L7" i="1" s="1"/>
  <c r="P6" i="1"/>
  <c r="P7" i="1" s="1"/>
  <c r="T6" i="1"/>
  <c r="T7" i="1" s="1"/>
  <c r="C23" i="1" s="1"/>
  <c r="X6" i="1"/>
  <c r="X7" i="1" s="1"/>
  <c r="AB6" i="1"/>
  <c r="AB7" i="1" s="1"/>
  <c r="AF6" i="1"/>
  <c r="AF7" i="1" s="1"/>
  <c r="AJ6" i="1"/>
  <c r="AJ7" i="1" s="1"/>
  <c r="C39" i="1" s="1"/>
  <c r="E39" i="1" s="1"/>
  <c r="F39" i="1" s="1"/>
  <c r="G39" i="1" s="1"/>
  <c r="AN6" i="1"/>
  <c r="AN7" i="1" s="1"/>
  <c r="C44" i="1" s="1"/>
  <c r="E44" i="1" s="1"/>
  <c r="F44" i="1" s="1"/>
  <c r="G44" i="1" s="1"/>
  <c r="AR6" i="1"/>
  <c r="AR7" i="1" s="1"/>
  <c r="AV6" i="1"/>
  <c r="AV7" i="1" s="1"/>
  <c r="AZ6" i="1"/>
  <c r="AZ7" i="1" s="1"/>
  <c r="BD6" i="1"/>
  <c r="BD7" i="1" s="1"/>
  <c r="C52" i="1" s="1"/>
  <c r="E52" i="1" s="1"/>
  <c r="F52" i="1" s="1"/>
  <c r="G52" i="1" s="1"/>
  <c r="BH6" i="1"/>
  <c r="BH7" i="1" s="1"/>
  <c r="BL6" i="1"/>
  <c r="BL7" i="1" s="1"/>
  <c r="BP6" i="1"/>
  <c r="BP7" i="1" s="1"/>
  <c r="BT6" i="1"/>
  <c r="BT7" i="1" s="1"/>
  <c r="C60" i="1" s="1"/>
  <c r="E60" i="1" s="1"/>
  <c r="F60" i="1" s="1"/>
  <c r="G60" i="1" s="1"/>
  <c r="BX6" i="1"/>
  <c r="BX7" i="1" s="1"/>
  <c r="C46" i="1"/>
  <c r="E46" i="1" s="1"/>
  <c r="F46" i="1" s="1"/>
  <c r="G46" i="1" s="1"/>
  <c r="C54" i="1"/>
  <c r="E54" i="1" s="1"/>
  <c r="F54" i="1" s="1"/>
  <c r="G54" i="1" s="1"/>
  <c r="C17" i="1"/>
  <c r="E17" i="1" s="1"/>
  <c r="F17" i="1" s="1"/>
  <c r="G17" i="1" s="1"/>
  <c r="C53" i="1"/>
  <c r="E53" i="1" s="1"/>
  <c r="F53" i="1" s="1"/>
  <c r="G53" i="1" s="1"/>
  <c r="C61" i="1"/>
  <c r="E61" i="1" s="1"/>
  <c r="G61" i="1" s="1"/>
  <c r="C32" i="1" l="1"/>
  <c r="E32" i="1" s="1"/>
  <c r="F32" i="1" s="1"/>
  <c r="G32" i="1" s="1"/>
  <c r="C45" i="1"/>
  <c r="E45" i="1" s="1"/>
  <c r="F45" i="1" s="1"/>
  <c r="G45" i="1" s="1"/>
  <c r="C14" i="1"/>
  <c r="E14" i="1" s="1"/>
  <c r="F14" i="1" s="1"/>
  <c r="G14" i="1" s="1"/>
  <c r="C41" i="1"/>
  <c r="E41" i="1" s="1"/>
  <c r="F41" i="1" s="1"/>
  <c r="G41" i="1" s="1"/>
  <c r="C43" i="1"/>
  <c r="E43" i="1" s="1"/>
  <c r="F43" i="1" s="1"/>
  <c r="G43" i="1" s="1"/>
  <c r="C18" i="1"/>
  <c r="E18" i="1" s="1"/>
  <c r="G18" i="1" s="1"/>
  <c r="C30" i="1"/>
  <c r="E30" i="1" s="1"/>
  <c r="F30" i="1" s="1"/>
  <c r="G30" i="1" s="1"/>
  <c r="C59" i="1"/>
  <c r="E59" i="1" s="1"/>
  <c r="F59" i="1" s="1"/>
  <c r="G59" i="1" s="1"/>
  <c r="C12" i="1"/>
  <c r="E12" i="1" s="1"/>
  <c r="F12" i="1" s="1"/>
  <c r="G12" i="1" s="1"/>
  <c r="C58" i="1"/>
  <c r="E58" i="1" s="1"/>
  <c r="F58" i="1" s="1"/>
  <c r="G58" i="1" s="1"/>
  <c r="C50" i="1"/>
  <c r="E50" i="1" s="1"/>
  <c r="F50" i="1" s="1"/>
  <c r="G50" i="1" s="1"/>
  <c r="C42" i="1"/>
  <c r="E42" i="1" s="1"/>
  <c r="F42" i="1" s="1"/>
  <c r="G42" i="1" s="1"/>
  <c r="C49" i="1"/>
  <c r="E49" i="1" s="1"/>
  <c r="F49" i="1" s="1"/>
  <c r="G49" i="1" s="1"/>
  <c r="C26" i="1"/>
  <c r="S28" i="1" s="1"/>
  <c r="S27" i="1" s="1"/>
  <c r="C20" i="1"/>
  <c r="E20" i="1" s="1"/>
  <c r="G20" i="1" s="1"/>
  <c r="C36" i="1"/>
  <c r="E36" i="1" s="1"/>
  <c r="F36" i="1" s="1"/>
  <c r="G36" i="1" s="1"/>
  <c r="C48" i="1"/>
  <c r="E48" i="1" s="1"/>
  <c r="F48" i="1" s="1"/>
  <c r="G48" i="1" s="1"/>
  <c r="C56" i="1"/>
  <c r="E56" i="1" s="1"/>
  <c r="F56" i="1" s="1"/>
  <c r="G56" i="1" s="1"/>
  <c r="C35" i="1"/>
  <c r="E35" i="1" s="1"/>
  <c r="F35" i="1" s="1"/>
  <c r="G35" i="1" s="1"/>
  <c r="C19" i="1"/>
  <c r="E19" i="1" s="1"/>
  <c r="G19" i="1" s="1"/>
  <c r="C33" i="1"/>
  <c r="E33" i="1" s="1"/>
  <c r="F33" i="1" s="1"/>
  <c r="G33" i="1" s="1"/>
  <c r="C38" i="1"/>
  <c r="E38" i="1" s="1"/>
  <c r="F38" i="1" s="1"/>
  <c r="G38" i="1" s="1"/>
  <c r="C22" i="1"/>
  <c r="E22" i="1" s="1"/>
  <c r="G22" i="1" s="1"/>
  <c r="C11" i="1"/>
  <c r="E11" i="1" s="1"/>
  <c r="F11" i="1" s="1"/>
  <c r="AC24" i="1"/>
  <c r="Y24" i="1"/>
  <c r="U24" i="1"/>
  <c r="Q24" i="1"/>
  <c r="M24" i="1"/>
  <c r="I24" i="1"/>
  <c r="AF24" i="1"/>
  <c r="AB24" i="1"/>
  <c r="X24" i="1"/>
  <c r="T24" i="1"/>
  <c r="P24" i="1"/>
  <c r="L24" i="1"/>
  <c r="H24" i="1"/>
  <c r="AD24" i="1"/>
  <c r="Z24" i="1"/>
  <c r="V24" i="1"/>
  <c r="R24" i="1"/>
  <c r="N24" i="1"/>
  <c r="J24" i="1"/>
  <c r="W24" i="1"/>
  <c r="G24" i="1"/>
  <c r="S24" i="1"/>
  <c r="K24" i="1"/>
  <c r="AE24" i="1"/>
  <c r="O24" i="1"/>
  <c r="AA24" i="1"/>
  <c r="J18" i="1"/>
  <c r="K28" i="1"/>
  <c r="K27" i="1" s="1"/>
  <c r="G28" i="1"/>
  <c r="G27" i="1" s="1"/>
  <c r="J28" i="1"/>
  <c r="J27" i="1" s="1"/>
  <c r="P28" i="1"/>
  <c r="P27" i="1" s="1"/>
  <c r="I28" i="1"/>
  <c r="I27" i="1" s="1"/>
  <c r="E26" i="1"/>
  <c r="Q28" i="1" l="1"/>
  <c r="Q27" i="1" s="1"/>
  <c r="H28" i="1"/>
  <c r="H27" i="1" s="1"/>
  <c r="N28" i="1"/>
  <c r="N27" i="1" s="1"/>
  <c r="O28" i="1"/>
  <c r="O27" i="1" s="1"/>
  <c r="M28" i="1"/>
  <c r="M27" i="1" s="1"/>
  <c r="L28" i="1"/>
  <c r="L27" i="1" s="1"/>
  <c r="R28" i="1"/>
  <c r="R27" i="1" s="1"/>
  <c r="I11" i="1"/>
  <c r="G11" i="1"/>
  <c r="L18" i="1"/>
  <c r="N18" i="1" s="1"/>
</calcChain>
</file>

<file path=xl/sharedStrings.xml><?xml version="1.0" encoding="utf-8"?>
<sst xmlns="http://schemas.openxmlformats.org/spreadsheetml/2006/main" count="197" uniqueCount="164">
  <si>
    <t>Beacon (hex)</t>
  </si>
  <si>
    <t>Bits</t>
  </si>
  <si>
    <t>HK</t>
  </si>
  <si>
    <t>Binary</t>
  </si>
  <si>
    <t>Hex</t>
  </si>
  <si>
    <t>Decimal</t>
  </si>
  <si>
    <t>Value (FM)</t>
  </si>
  <si>
    <t>Value (EM)</t>
  </si>
  <si>
    <t>Battery voltage</t>
  </si>
  <si>
    <t>V</t>
  </si>
  <si>
    <t>Temperature OBC</t>
  </si>
  <si>
    <t>085509C80649076004FE05DA</t>
  </si>
  <si>
    <t>degC</t>
  </si>
  <si>
    <t>EM:</t>
  </si>
  <si>
    <t>080f099d0613074004d405c0</t>
  </si>
  <si>
    <t>Battery current</t>
  </si>
  <si>
    <t>mA</t>
  </si>
  <si>
    <t>Reg.Bus 3V3 current</t>
  </si>
  <si>
    <t>Reg.Bus 5V0 current</t>
  </si>
  <si>
    <t>Temperature UHF</t>
  </si>
  <si>
    <t>OBC Mode/Status</t>
  </si>
  <si>
    <t>Reason for mode change</t>
  </si>
  <si>
    <t>OBC uptime</t>
  </si>
  <si>
    <t>Seconds</t>
  </si>
  <si>
    <t>h</t>
  </si>
  <si>
    <t>min</t>
  </si>
  <si>
    <t>s</t>
  </si>
  <si>
    <t>OBC boot counter</t>
  </si>
  <si>
    <t>boots</t>
  </si>
  <si>
    <t>OBC packet counter (sent)</t>
  </si>
  <si>
    <t>packets sent</t>
  </si>
  <si>
    <t>OBC TC received (correct frame)</t>
  </si>
  <si>
    <t>TC received</t>
  </si>
  <si>
    <t>OBC TC valid (correct command, executed)</t>
  </si>
  <si>
    <t>commands executed</t>
  </si>
  <si>
    <t>Systems on (ADCS, GPS, IRIDIUM, ULG,  XPL, ASDS)</t>
  </si>
  <si>
    <t>Platform I2C</t>
  </si>
  <si>
    <t>Platform interfacing</t>
  </si>
  <si>
    <t>UHF</t>
  </si>
  <si>
    <t>GPS</t>
  </si>
  <si>
    <t>ADCS</t>
  </si>
  <si>
    <t xml:space="preserve">IMU  </t>
  </si>
  <si>
    <t xml:space="preserve">Pressure sensor  </t>
  </si>
  <si>
    <t>UHF communications</t>
  </si>
  <si>
    <t>GPS communications   (active low, inverted)</t>
  </si>
  <si>
    <t xml:space="preserve">XPL  </t>
  </si>
  <si>
    <t xml:space="preserve">AeroSDS 3.3V  </t>
  </si>
  <si>
    <t xml:space="preserve">AeroSDS 5V  </t>
  </si>
  <si>
    <t xml:space="preserve">Iridium 3.3V  </t>
  </si>
  <si>
    <t xml:space="preserve">Iridium 27V  </t>
  </si>
  <si>
    <t xml:space="preserve">UlG  </t>
  </si>
  <si>
    <t xml:space="preserve">EGSE  </t>
  </si>
  <si>
    <t>EGSE 1 communications</t>
  </si>
  <si>
    <t xml:space="preserve">EGSE 2 communications </t>
  </si>
  <si>
    <t>XPL power good (input)</t>
  </si>
  <si>
    <t>AeroSDS 3.3V power good (input)</t>
  </si>
  <si>
    <t>AeroSDS 5V power good (input)</t>
  </si>
  <si>
    <t>UHF1 (input)</t>
  </si>
  <si>
    <t>IMU data ready (input)</t>
  </si>
  <si>
    <t>Accelerometer data ready (input)</t>
  </si>
  <si>
    <t xml:space="preserve"> Iridium CTS (input)</t>
  </si>
  <si>
    <t>Iridium DCD (input)</t>
  </si>
  <si>
    <t>Deployable status</t>
  </si>
  <si>
    <t>Panel 1 (-X-axis) release</t>
  </si>
  <si>
    <t>Panel 2 (-Y-axis) release</t>
  </si>
  <si>
    <t>Panel 3 (+Y-axis) release</t>
  </si>
  <si>
    <t>Panel 4 (+X-axis) release</t>
  </si>
  <si>
    <t>Panel 1 (-X-axis) deployed (input)</t>
  </si>
  <si>
    <t>Panel 2 (-Y-axis) deployed (input)</t>
  </si>
  <si>
    <t>Panel 3 (+Y-axis) deployed (input)</t>
  </si>
  <si>
    <t>Panel 4 (+X-axis)deployed (input)</t>
  </si>
  <si>
    <t>Deployment enable</t>
  </si>
  <si>
    <t>Antenna 4 (+X)</t>
  </si>
  <si>
    <t>Antenna 3 (+Y)</t>
  </si>
  <si>
    <t>Antenna 2 (-X)</t>
  </si>
  <si>
    <t>Antenna 1 (-Y)</t>
  </si>
  <si>
    <t>Solar panel current -Xi</t>
  </si>
  <si>
    <t>NOTE: i is inside in deployed config. (opposite to the switches)</t>
  </si>
  <si>
    <t>Solar panel current -Xo</t>
  </si>
  <si>
    <t>Solar panel current -Yi</t>
  </si>
  <si>
    <t>Solar panel current -Yo</t>
  </si>
  <si>
    <t>Solar panel current +Yi</t>
  </si>
  <si>
    <t>Solar panel current +Yo</t>
  </si>
  <si>
    <t>SolarPanel Voltage -X</t>
  </si>
  <si>
    <t>SolarPanel Voltage -Y</t>
  </si>
  <si>
    <t>SolarPanel Voltage +X</t>
  </si>
  <si>
    <t>SolarPanel Voltage +Y</t>
  </si>
  <si>
    <t>ADCS state</t>
  </si>
  <si>
    <t>Attitude Estimation Mode</t>
  </si>
  <si>
    <t>Control Mode</t>
  </si>
  <si>
    <t>CubeControl 3V3 current</t>
  </si>
  <si>
    <t>CubeControl 5V current</t>
  </si>
  <si>
    <t>CubeControl Vbat current</t>
  </si>
  <si>
    <t>Magnetorquer Current</t>
  </si>
  <si>
    <t>Momentum Wheel Current</t>
  </si>
  <si>
    <t>Magnetic Field X</t>
  </si>
  <si>
    <t>nT</t>
  </si>
  <si>
    <t>Magnetic Field Y</t>
  </si>
  <si>
    <t>Magnetic Field Z</t>
  </si>
  <si>
    <t>Y Angular Rate</t>
  </si>
  <si>
    <t>deg/s</t>
  </si>
  <si>
    <t>Y Wheel Speed</t>
  </si>
  <si>
    <t>rpm</t>
  </si>
  <si>
    <t>Estimated roll angle</t>
  </si>
  <si>
    <t>Estimated pitch angle</t>
  </si>
  <si>
    <t>Estimated yaw angle</t>
  </si>
  <si>
    <t>Estimated X angular rate</t>
  </si>
  <si>
    <t>Estimated Y angular rate</t>
  </si>
  <si>
    <t>Estimated Z angular rate</t>
  </si>
  <si>
    <t>Temperature ADCS (ARM CPU)</t>
  </si>
  <si>
    <t>OBC mode</t>
  </si>
  <si>
    <t>Reason for mode change (Ph3)</t>
  </si>
  <si>
    <t>PanelDeploy 0-3</t>
  </si>
  <si>
    <t>ADCS run mode</t>
  </si>
  <si>
    <t>Initialisation</t>
  </si>
  <si>
    <t>System reset</t>
  </si>
  <si>
    <t>not active</t>
  </si>
  <si>
    <t>Disabled</t>
  </si>
  <si>
    <t>Deployment</t>
  </si>
  <si>
    <t>Command</t>
  </si>
  <si>
    <t>Being deployed</t>
  </si>
  <si>
    <t>Enabled</t>
  </si>
  <si>
    <t>Phase 0</t>
  </si>
  <si>
    <t>Timeout</t>
  </si>
  <si>
    <t>Triggered</t>
  </si>
  <si>
    <t>Phase 1</t>
  </si>
  <si>
    <t>Under-voltage</t>
  </si>
  <si>
    <t>PanelDeploy 4-7 &amp; antenna</t>
  </si>
  <si>
    <t>Phase 2</t>
  </si>
  <si>
    <t>Accelerometer</t>
  </si>
  <si>
    <t>Not deployed</t>
  </si>
  <si>
    <t>ADCS Estimation Mode</t>
  </si>
  <si>
    <t>Low Power Mode</t>
  </si>
  <si>
    <t>IMU</t>
  </si>
  <si>
    <t>Deployed</t>
  </si>
  <si>
    <t>No attitude estimation</t>
  </si>
  <si>
    <t>Phase 3</t>
  </si>
  <si>
    <t>MEMS rate sensing</t>
  </si>
  <si>
    <t>Phase 4</t>
  </si>
  <si>
    <t>Thermocouple</t>
  </si>
  <si>
    <t>PanelDeploy 8</t>
  </si>
  <si>
    <t>Magnetometer rate filler</t>
  </si>
  <si>
    <t>Safe Mode</t>
  </si>
  <si>
    <t>Disable</t>
  </si>
  <si>
    <t>Magnetometer rate filler with pitch estimation</t>
  </si>
  <si>
    <t>Enable</t>
  </si>
  <si>
    <t>Full-State EKF</t>
  </si>
  <si>
    <t>Magnetometer and fine sun TRIAD algorithm.</t>
  </si>
  <si>
    <t>ADCS Control  Mode</t>
  </si>
  <si>
    <t>No control</t>
  </si>
  <si>
    <t>Detumbling control</t>
  </si>
  <si>
    <t>Y-momentum stabilized - Initial pitch acquisition</t>
  </si>
  <si>
    <t>Y-momentum stabilized - Steady state</t>
  </si>
  <si>
    <t xml:space="preserve">   1 &gt; C6 08 66 FF F1 EF FC 00 69 40 00 00 26 E8 18 00 A0 58 5F BD 
  21 &gt; 0C 88 00 0F FF FF FF FF FF FF FF FF FF FF FF FF FF FF F0</t>
  </si>
  <si>
    <t xml:space="preserve">   1 &gt; C4 78 40 FF F4 3D 14 00 64 80 00 00 36 D8 18 01 58 40 47 48 
  21 &gt; 0C 06 00 0F FF FF FF FF FF FF FF FF FF FF FF FF FF FF F1 10 
  41 &gt; 06 50 01 00 00 E0 69 D0 1A 00 3A 0F 48 A0 6E 3F FE 00 00 00 
  61 &gt; D6 8D 86 0D E8 20 38 20 14 AF E2 80 01 B0 </t>
  </si>
  <si>
    <t xml:space="preserve"> 1 &gt; C3 57 E8 FF F4 FF FC 00 60 90 00 00 34 98 08 05 10 48 47 48 
  21 &gt; 0C 20 00 0F FF FF FF FF FF FF FF FF FF FF FF FF FF FF F0 00 
  41 &gt; 00 00 00 00 00 00 00 00 00 00 00 00 00 00 00 00 00 00 00 00 
  61 &gt; 00 00 00 00 00 00 00 00 00 00 00 00 01 E0 
</t>
  </si>
  <si>
    <t xml:space="preserve">1 &gt; C3 57 E9 FF F4 FF FC 00 60 90 00 00 3C 48 08 05 F8 70 6F 48 
  21 &gt; 0C 20 00 0F FF FF FF FF FF FF FF FF FF FF FF FF FF FF F0 00 
  41 &gt; 00 00 00 00 00 00 00 00 00 00 00 00 00 00 00 00 00 00 00 00 
  61 &gt; 00 00 00 00 00 00 00 00 00 00 00 00 01 E0 
</t>
  </si>
  <si>
    <t>C3 
  21 &gt; F7 F2 FF F5 0F FC 00 60 90 00 00 40 30 08 06 80 80 77 48 0C 
  41 &gt; 20 00 0F FF FF FF FF FF FF FF FF FF FF FF FF FF FF F0 00 00 
  61 &gt; 00 00 00 00 00 00 00 00 00 00 00 00 00 00 00 00 00 00 00 00 
  81 &gt; 00 00 00 00 00 00 00 00 00 00 00 01 E0</t>
  </si>
  <si>
    <t xml:space="preserve">   1 &gt; C3 A7 E8 FF F4 EF FC 00 54 90 00 00 50 48 10 01 68 50 57 48 
  21 &gt; 0C 20 00 0F FF FF FF FF FF FF FF FF FF FF FF FF FF FF F0 00 
  41 &gt; 00 00 00 00 00 00 00 00 00 00 00 00 00 00 00 00 00 00 00 00 
  61 &gt; 00 00 00 00 00 00 00 00 00 00 00 0C 01 DC </t>
  </si>
  <si>
    <t xml:space="preserve">   1 &gt; CA 87 DD FF F5 0F FC 00 50 88 00 00 20 D0 40 01 48 78 7F 48 
  21 &gt; 0C 20 00 0F FF FF FF FF FF FF FF FF FF FF FF FF FF FF F0 00 
  41 &gt; 00 00 00 00 00 00 00 00 00 00 00 00 00 00 00 00 00 00 00 00 
  61 &gt; 00 00 00 00 00 00 00 00 00 00 00 00 01 B0 </t>
  </si>
  <si>
    <t>WITH ADCS</t>
  </si>
  <si>
    <t>LPM</t>
  </si>
  <si>
    <t>Instruction: in cell A2, you can copy/paste directly the data (red text) from AGW OnlineKISS plus (DK3WN) to have the telemetry decoded below. The tab "ExamplesBCN" lists a few beacon examples that you can try out.</t>
  </si>
  <si>
    <t xml:space="preserve">  1 &gt; B8 07 D3 FF F2 7F FC 00 4D 40 00 00 96 80 20 00 38 28 2F BD 
  21 &gt; 0C A8 00 0F FF FF FF FF FF FF FF FF FF FF FF FF FF FF F0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</si>
</sst>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0"/>
      <name val="Arial"/>
      <family val="2"/>
    </font>
    <font>
      <sz val="10"/>
      <color theme="0" tint="-0.34998626667073579"/>
      <name val="Arial"/>
      <family val="2"/>
    </font>
    <font>
      <sz val="10"/>
      <color theme="0" tint="-0.34998626667073579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  <xf numFmtId="0" fontId="1" fillId="5" borderId="0" applyNumberFormat="0" applyBorder="0" applyAlignment="0" applyProtection="0"/>
    <xf numFmtId="0" fontId="6" fillId="0" borderId="0"/>
  </cellStyleXfs>
  <cellXfs count="45">
    <xf numFmtId="0" fontId="0" fillId="0" borderId="0" xfId="0"/>
    <xf numFmtId="0" fontId="1" fillId="5" borderId="0" xfId="4" applyBorder="1" applyAlignment="1">
      <alignment vertical="top" wrapText="1"/>
    </xf>
    <xf numFmtId="0" fontId="1" fillId="5" borderId="0" xfId="4"/>
    <xf numFmtId="0" fontId="5" fillId="0" borderId="0" xfId="0" applyNumberFormat="1" applyFont="1"/>
    <xf numFmtId="0" fontId="3" fillId="0" borderId="0" xfId="2" applyFont="1" applyFill="1" applyBorder="1" applyAlignment="1">
      <alignment vertical="top" wrapText="1"/>
    </xf>
    <xf numFmtId="49" fontId="0" fillId="0" borderId="0" xfId="0" applyNumberFormat="1"/>
    <xf numFmtId="0" fontId="5" fillId="0" borderId="0" xfId="0" applyFont="1"/>
    <xf numFmtId="0" fontId="0" fillId="6" borderId="0" xfId="0" applyFill="1"/>
    <xf numFmtId="49" fontId="5" fillId="0" borderId="0" xfId="0" applyNumberFormat="1" applyFont="1"/>
    <xf numFmtId="0" fontId="4" fillId="7" borderId="0" xfId="5" applyFont="1" applyFill="1" applyAlignment="1">
      <alignment horizontal="center" vertical="center"/>
    </xf>
    <xf numFmtId="0" fontId="7" fillId="0" borderId="0" xfId="5" applyFont="1" applyAlignment="1">
      <alignment horizontal="center"/>
    </xf>
    <xf numFmtId="2" fontId="6" fillId="0" borderId="0" xfId="5" applyNumberFormat="1" applyAlignment="1">
      <alignment horizontal="right"/>
    </xf>
    <xf numFmtId="0" fontId="6" fillId="0" borderId="0" xfId="5"/>
    <xf numFmtId="0" fontId="7" fillId="0" borderId="0" xfId="5" applyFont="1" applyAlignment="1">
      <alignment horizontal="left"/>
    </xf>
    <xf numFmtId="0" fontId="6" fillId="0" borderId="0" xfId="5" applyAlignment="1">
      <alignment horizontal="right"/>
    </xf>
    <xf numFmtId="0" fontId="6" fillId="0" borderId="0" xfId="5" applyBorder="1"/>
    <xf numFmtId="0" fontId="8" fillId="0" borderId="0" xfId="0" applyFont="1"/>
    <xf numFmtId="0" fontId="6" fillId="0" borderId="0" xfId="5" applyFill="1" applyAlignment="1">
      <alignment horizontal="right"/>
    </xf>
    <xf numFmtId="0" fontId="6" fillId="0" borderId="0" xfId="5" applyFill="1" applyBorder="1"/>
    <xf numFmtId="0" fontId="7" fillId="0" borderId="0" xfId="5" applyFont="1" applyFill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2" xfId="3" applyFont="1" applyFill="1"/>
    <xf numFmtId="0" fontId="5" fillId="0" borderId="2" xfId="3" applyFont="1" applyFill="1" applyAlignment="1">
      <alignment horizontal="center" vertical="center"/>
    </xf>
    <xf numFmtId="0" fontId="0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6" fillId="0" borderId="3" xfId="5" applyFill="1" applyBorder="1" applyAlignment="1">
      <alignment horizontal="center"/>
    </xf>
    <xf numFmtId="0" fontId="0" fillId="0" borderId="0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/>
    <xf numFmtId="0" fontId="1" fillId="0" borderId="0" xfId="1" applyFont="1" applyFill="1" applyAlignment="1">
      <alignment horizontal="righ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5" borderId="0" xfId="4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0" fillId="8" borderId="0" xfId="0" applyFill="1"/>
    <xf numFmtId="0" fontId="0" fillId="8" borderId="0" xfId="0" applyFill="1" applyAlignment="1">
      <alignment horizontal="left" wrapText="1"/>
    </xf>
  </cellXfs>
  <cellStyles count="6">
    <cellStyle name="20% - Accent5" xfId="4" builtinId="46"/>
    <cellStyle name="Bad" xfId="1" builtinId="27"/>
    <cellStyle name="Input" xfId="2" builtinId="20"/>
    <cellStyle name="Normal" xfId="0" builtinId="0"/>
    <cellStyle name="Note" xfId="3" builtinId="10"/>
    <cellStyle name="Standard 3" xfId="5" xr:uid="{29D3410B-7FBF-4FD3-9EA6-A1E315DE0D4B}"/>
  </cellStyles>
  <dxfs count="4"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theme="7" tint="0.59996337778862885"/>
      </font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48F15-DF05-4518-834F-7D7037119E96}">
  <dimension ref="A1:CC61"/>
  <sheetViews>
    <sheetView tabSelected="1" workbookViewId="0">
      <pane ySplit="7" topLeftCell="A8" activePane="bottomLeft" state="frozen"/>
      <selection activeCell="A3" sqref="A3"/>
      <selection pane="bottomLeft" activeCell="G11" sqref="G11"/>
    </sheetView>
  </sheetViews>
  <sheetFormatPr defaultRowHeight="15" x14ac:dyDescent="0.25"/>
  <cols>
    <col min="1" max="1" width="45.85546875" bestFit="1" customWidth="1"/>
    <col min="2" max="2" width="9" customWidth="1"/>
    <col min="3" max="3" width="15.5703125" customWidth="1"/>
    <col min="4" max="4" width="9.42578125" customWidth="1"/>
    <col min="5" max="5" width="9.28515625" bestFit="1" customWidth="1"/>
    <col min="6" max="6" width="9" bestFit="1" customWidth="1"/>
    <col min="7" max="7" width="16.85546875" customWidth="1"/>
    <col min="8" max="8" width="12.5703125" customWidth="1"/>
    <col min="9" max="9" width="10.140625" customWidth="1"/>
    <col min="10" max="66" width="8.85546875" customWidth="1"/>
  </cols>
  <sheetData>
    <row r="1" spans="1:81" ht="46.5" customHeight="1" x14ac:dyDescent="0.25">
      <c r="A1" s="44" t="s">
        <v>162</v>
      </c>
      <c r="B1" s="44"/>
      <c r="C1" s="44"/>
      <c r="D1" s="44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81" ht="120.75" customHeight="1" x14ac:dyDescent="0.25">
      <c r="A2" s="41" t="s">
        <v>163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81" ht="17.25" customHeight="1" x14ac:dyDescent="0.25">
      <c r="A3" s="3" t="str">
        <f>SUBSTITUTE(SUBSTITUTE(SUBSTITUTE(SUBSTITUTE(SUBSTITUTE(CLEAN(A2)," ",""),"61&gt;",""),"41&gt;",""),"21&gt;",""),"1&gt;","")</f>
        <v>B807D3FFF27FFC004D4000009680200038282FBD0CA8000FFFFFFFFFFFFFFFFFFFFFFFFFFFFFF0</v>
      </c>
      <c r="B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</row>
    <row r="4" spans="1:81" s="6" customFormat="1" hidden="1" x14ac:dyDescent="0.25">
      <c r="B4" s="6">
        <v>0</v>
      </c>
      <c r="C4" s="6">
        <v>1</v>
      </c>
      <c r="D4" s="6">
        <v>2</v>
      </c>
      <c r="E4" s="6">
        <v>3</v>
      </c>
      <c r="F4" s="6">
        <v>4</v>
      </c>
      <c r="G4" s="6">
        <v>5</v>
      </c>
      <c r="H4" s="6">
        <v>6</v>
      </c>
      <c r="I4" s="6">
        <v>7</v>
      </c>
      <c r="J4" s="6">
        <v>8</v>
      </c>
      <c r="K4" s="6">
        <v>9</v>
      </c>
      <c r="L4" s="6">
        <v>10</v>
      </c>
      <c r="M4" s="6">
        <v>11</v>
      </c>
      <c r="N4" s="6">
        <v>12</v>
      </c>
      <c r="O4" s="6">
        <v>13</v>
      </c>
      <c r="P4" s="6">
        <v>14</v>
      </c>
      <c r="Q4" s="6">
        <v>15</v>
      </c>
      <c r="R4" s="6">
        <v>16</v>
      </c>
      <c r="S4" s="6">
        <v>17</v>
      </c>
      <c r="T4" s="6">
        <v>18</v>
      </c>
      <c r="U4" s="6">
        <v>19</v>
      </c>
      <c r="V4" s="6">
        <v>20</v>
      </c>
      <c r="W4" s="6">
        <v>21</v>
      </c>
      <c r="X4" s="6">
        <v>22</v>
      </c>
      <c r="Y4" s="6">
        <v>23</v>
      </c>
      <c r="Z4" s="6">
        <v>24</v>
      </c>
      <c r="AA4" s="6">
        <v>25</v>
      </c>
      <c r="AB4" s="6">
        <v>26</v>
      </c>
      <c r="AC4" s="6">
        <v>27</v>
      </c>
      <c r="AD4" s="6">
        <v>28</v>
      </c>
      <c r="AE4" s="6">
        <v>29</v>
      </c>
      <c r="AF4" s="6">
        <v>30</v>
      </c>
      <c r="AG4" s="6">
        <v>31</v>
      </c>
      <c r="AH4" s="6">
        <v>32</v>
      </c>
      <c r="AI4" s="6">
        <v>33</v>
      </c>
      <c r="AJ4" s="6">
        <v>34</v>
      </c>
      <c r="AK4" s="6">
        <v>35</v>
      </c>
      <c r="AL4" s="6">
        <v>36</v>
      </c>
      <c r="AM4" s="6">
        <v>37</v>
      </c>
      <c r="AN4" s="6">
        <v>38</v>
      </c>
      <c r="AO4" s="6">
        <v>39</v>
      </c>
      <c r="AP4" s="6">
        <v>40</v>
      </c>
      <c r="AQ4" s="6">
        <v>41</v>
      </c>
      <c r="AR4" s="6">
        <v>42</v>
      </c>
      <c r="AS4" s="6">
        <v>43</v>
      </c>
      <c r="AT4" s="6">
        <v>44</v>
      </c>
      <c r="AU4" s="6">
        <v>45</v>
      </c>
      <c r="AV4" s="6">
        <v>46</v>
      </c>
      <c r="AW4" s="6">
        <v>47</v>
      </c>
      <c r="AX4" s="6">
        <v>48</v>
      </c>
      <c r="AY4" s="6">
        <v>49</v>
      </c>
      <c r="AZ4" s="6">
        <v>50</v>
      </c>
      <c r="BA4" s="6">
        <v>51</v>
      </c>
      <c r="BB4" s="6">
        <v>52</v>
      </c>
      <c r="BC4" s="6">
        <v>53</v>
      </c>
      <c r="BD4" s="6">
        <v>54</v>
      </c>
      <c r="BE4" s="6">
        <v>55</v>
      </c>
      <c r="BF4" s="6">
        <v>56</v>
      </c>
      <c r="BG4" s="6">
        <v>57</v>
      </c>
      <c r="BH4" s="6">
        <v>58</v>
      </c>
      <c r="BI4" s="6">
        <v>59</v>
      </c>
      <c r="BJ4" s="6">
        <v>60</v>
      </c>
      <c r="BK4" s="6">
        <v>61</v>
      </c>
      <c r="BL4" s="6">
        <v>62</v>
      </c>
      <c r="BM4" s="6">
        <v>63</v>
      </c>
      <c r="BN4" s="6">
        <v>64</v>
      </c>
      <c r="BO4" s="6">
        <v>65</v>
      </c>
      <c r="BP4" s="6">
        <v>66</v>
      </c>
      <c r="BQ4" s="6">
        <v>67</v>
      </c>
      <c r="BR4" s="6">
        <v>68</v>
      </c>
      <c r="BS4" s="6">
        <v>69</v>
      </c>
      <c r="BT4" s="6">
        <v>70</v>
      </c>
      <c r="BU4" s="6">
        <v>71</v>
      </c>
      <c r="BV4" s="6">
        <v>72</v>
      </c>
      <c r="BW4" s="6">
        <v>73</v>
      </c>
      <c r="BX4" s="6">
        <v>74</v>
      </c>
      <c r="BY4" s="6">
        <v>75</v>
      </c>
      <c r="BZ4" s="6">
        <v>76</v>
      </c>
      <c r="CA4" s="6">
        <v>77</v>
      </c>
      <c r="CB4" s="6">
        <v>78</v>
      </c>
      <c r="CC4" s="6">
        <v>79</v>
      </c>
    </row>
    <row r="5" spans="1:81" hidden="1" x14ac:dyDescent="0.25">
      <c r="B5">
        <v>1</v>
      </c>
      <c r="C5">
        <v>3</v>
      </c>
      <c r="D5">
        <v>5</v>
      </c>
      <c r="E5">
        <v>7</v>
      </c>
      <c r="F5">
        <v>9</v>
      </c>
      <c r="G5">
        <v>11</v>
      </c>
      <c r="H5">
        <v>13</v>
      </c>
      <c r="I5">
        <v>15</v>
      </c>
      <c r="J5">
        <v>17</v>
      </c>
      <c r="K5">
        <v>19</v>
      </c>
      <c r="L5">
        <v>21</v>
      </c>
      <c r="M5">
        <v>23</v>
      </c>
      <c r="N5">
        <v>25</v>
      </c>
      <c r="O5">
        <v>27</v>
      </c>
      <c r="P5">
        <v>29</v>
      </c>
      <c r="Q5">
        <v>31</v>
      </c>
      <c r="R5">
        <v>33</v>
      </c>
      <c r="S5">
        <v>35</v>
      </c>
      <c r="T5">
        <v>37</v>
      </c>
      <c r="U5">
        <v>39</v>
      </c>
      <c r="V5">
        <v>41</v>
      </c>
      <c r="W5">
        <v>43</v>
      </c>
      <c r="X5">
        <v>45</v>
      </c>
      <c r="Y5">
        <v>47</v>
      </c>
      <c r="Z5">
        <v>49</v>
      </c>
      <c r="AA5">
        <v>51</v>
      </c>
      <c r="AB5">
        <v>53</v>
      </c>
      <c r="AC5">
        <v>55</v>
      </c>
      <c r="AD5">
        <v>57</v>
      </c>
      <c r="AE5">
        <v>59</v>
      </c>
      <c r="AF5">
        <v>61</v>
      </c>
      <c r="AG5">
        <v>63</v>
      </c>
      <c r="AH5">
        <v>65</v>
      </c>
      <c r="AI5">
        <v>67</v>
      </c>
      <c r="AJ5">
        <v>69</v>
      </c>
      <c r="AK5">
        <v>71</v>
      </c>
      <c r="AL5">
        <v>73</v>
      </c>
      <c r="AM5">
        <v>75</v>
      </c>
      <c r="AN5">
        <v>77</v>
      </c>
      <c r="AO5">
        <v>79</v>
      </c>
      <c r="AP5">
        <v>81</v>
      </c>
      <c r="AQ5">
        <v>83</v>
      </c>
      <c r="AR5">
        <v>85</v>
      </c>
      <c r="AS5">
        <v>87</v>
      </c>
      <c r="AT5">
        <v>89</v>
      </c>
      <c r="AU5">
        <v>91</v>
      </c>
      <c r="AV5">
        <v>93</v>
      </c>
      <c r="AW5">
        <v>95</v>
      </c>
      <c r="AX5">
        <v>97</v>
      </c>
      <c r="AY5">
        <v>99</v>
      </c>
      <c r="AZ5">
        <v>101</v>
      </c>
      <c r="BA5">
        <v>103</v>
      </c>
      <c r="BB5">
        <v>105</v>
      </c>
      <c r="BC5">
        <v>107</v>
      </c>
      <c r="BD5">
        <v>109</v>
      </c>
      <c r="BE5">
        <v>111</v>
      </c>
      <c r="BF5">
        <v>113</v>
      </c>
      <c r="BG5">
        <v>115</v>
      </c>
      <c r="BH5">
        <v>117</v>
      </c>
      <c r="BI5">
        <v>119</v>
      </c>
      <c r="BJ5">
        <v>121</v>
      </c>
      <c r="BK5">
        <v>123</v>
      </c>
      <c r="BL5">
        <v>125</v>
      </c>
      <c r="BM5">
        <v>127</v>
      </c>
      <c r="BN5">
        <v>129</v>
      </c>
      <c r="BO5">
        <v>131</v>
      </c>
      <c r="BP5">
        <v>133</v>
      </c>
      <c r="BQ5">
        <v>135</v>
      </c>
      <c r="BR5">
        <v>137</v>
      </c>
      <c r="BS5">
        <v>139</v>
      </c>
      <c r="BT5">
        <v>141</v>
      </c>
      <c r="BU5">
        <v>143</v>
      </c>
      <c r="BV5">
        <v>145</v>
      </c>
      <c r="BW5">
        <v>147</v>
      </c>
      <c r="BX5">
        <v>149</v>
      </c>
      <c r="BY5">
        <v>151</v>
      </c>
      <c r="BZ5">
        <v>153</v>
      </c>
      <c r="CA5">
        <v>155</v>
      </c>
      <c r="CB5">
        <v>157</v>
      </c>
    </row>
    <row r="6" spans="1:81" s="7" customFormat="1" hidden="1" x14ac:dyDescent="0.25">
      <c r="A6" s="7" t="s">
        <v>0</v>
      </c>
      <c r="B6" t="str">
        <f t="shared" ref="B6:BM6" si="0">MID($A$3,B5,2)</f>
        <v>B8</v>
      </c>
      <c r="C6" t="str">
        <f t="shared" si="0"/>
        <v>07</v>
      </c>
      <c r="D6" t="str">
        <f t="shared" si="0"/>
        <v>D3</v>
      </c>
      <c r="E6" t="str">
        <f t="shared" si="0"/>
        <v>FF</v>
      </c>
      <c r="F6" t="str">
        <f t="shared" si="0"/>
        <v>F2</v>
      </c>
      <c r="G6" t="str">
        <f t="shared" si="0"/>
        <v>7F</v>
      </c>
      <c r="H6" t="str">
        <f t="shared" si="0"/>
        <v>FC</v>
      </c>
      <c r="I6" t="str">
        <f t="shared" si="0"/>
        <v>00</v>
      </c>
      <c r="J6" t="str">
        <f t="shared" si="0"/>
        <v>4D</v>
      </c>
      <c r="K6" t="str">
        <f t="shared" si="0"/>
        <v>40</v>
      </c>
      <c r="L6" t="str">
        <f t="shared" si="0"/>
        <v>00</v>
      </c>
      <c r="M6" t="str">
        <f t="shared" si="0"/>
        <v>00</v>
      </c>
      <c r="N6" t="str">
        <f t="shared" si="0"/>
        <v>96</v>
      </c>
      <c r="O6" t="str">
        <f t="shared" si="0"/>
        <v>80</v>
      </c>
      <c r="P6" t="str">
        <f t="shared" si="0"/>
        <v>20</v>
      </c>
      <c r="Q6" t="str">
        <f t="shared" si="0"/>
        <v>00</v>
      </c>
      <c r="R6" t="str">
        <f t="shared" si="0"/>
        <v>38</v>
      </c>
      <c r="S6" t="str">
        <f t="shared" si="0"/>
        <v>28</v>
      </c>
      <c r="T6" t="str">
        <f t="shared" si="0"/>
        <v>2F</v>
      </c>
      <c r="U6" t="str">
        <f t="shared" si="0"/>
        <v>BD</v>
      </c>
      <c r="V6" t="str">
        <f t="shared" si="0"/>
        <v>0C</v>
      </c>
      <c r="W6" t="str">
        <f t="shared" si="0"/>
        <v>A8</v>
      </c>
      <c r="X6" t="str">
        <f t="shared" si="0"/>
        <v>00</v>
      </c>
      <c r="Y6" t="str">
        <f t="shared" si="0"/>
        <v>0F</v>
      </c>
      <c r="Z6" t="str">
        <f t="shared" si="0"/>
        <v>FF</v>
      </c>
      <c r="AA6" t="str">
        <f t="shared" si="0"/>
        <v>FF</v>
      </c>
      <c r="AB6" t="str">
        <f t="shared" si="0"/>
        <v>FF</v>
      </c>
      <c r="AC6" t="str">
        <f t="shared" si="0"/>
        <v>FF</v>
      </c>
      <c r="AD6" t="str">
        <f t="shared" si="0"/>
        <v>FF</v>
      </c>
      <c r="AE6" t="str">
        <f t="shared" si="0"/>
        <v>FF</v>
      </c>
      <c r="AF6" t="str">
        <f t="shared" si="0"/>
        <v>FF</v>
      </c>
      <c r="AG6" t="str">
        <f t="shared" si="0"/>
        <v>FF</v>
      </c>
      <c r="AH6" t="str">
        <f t="shared" si="0"/>
        <v>FF</v>
      </c>
      <c r="AI6" t="str">
        <f t="shared" si="0"/>
        <v>FF</v>
      </c>
      <c r="AJ6" t="str">
        <f t="shared" si="0"/>
        <v>FF</v>
      </c>
      <c r="AK6" t="str">
        <f t="shared" si="0"/>
        <v>FF</v>
      </c>
      <c r="AL6" t="str">
        <f t="shared" si="0"/>
        <v>FF</v>
      </c>
      <c r="AM6" t="str">
        <f t="shared" si="0"/>
        <v>FF</v>
      </c>
      <c r="AN6" t="str">
        <f t="shared" si="0"/>
        <v>F0</v>
      </c>
      <c r="AO6" t="str">
        <f t="shared" si="0"/>
        <v/>
      </c>
      <c r="AP6" t="str">
        <f t="shared" si="0"/>
        <v/>
      </c>
      <c r="AQ6" t="str">
        <f t="shared" si="0"/>
        <v/>
      </c>
      <c r="AR6" t="str">
        <f t="shared" si="0"/>
        <v/>
      </c>
      <c r="AS6" t="str">
        <f t="shared" si="0"/>
        <v/>
      </c>
      <c r="AT6" t="str">
        <f t="shared" si="0"/>
        <v/>
      </c>
      <c r="AU6" t="str">
        <f t="shared" si="0"/>
        <v/>
      </c>
      <c r="AV6" t="str">
        <f t="shared" si="0"/>
        <v/>
      </c>
      <c r="AW6" t="str">
        <f t="shared" si="0"/>
        <v/>
      </c>
      <c r="AX6" t="str">
        <f t="shared" si="0"/>
        <v/>
      </c>
      <c r="AY6" t="str">
        <f t="shared" si="0"/>
        <v/>
      </c>
      <c r="AZ6" t="str">
        <f t="shared" si="0"/>
        <v/>
      </c>
      <c r="BA6" t="str">
        <f t="shared" si="0"/>
        <v/>
      </c>
      <c r="BB6" t="str">
        <f t="shared" si="0"/>
        <v/>
      </c>
      <c r="BC6" t="str">
        <f t="shared" si="0"/>
        <v/>
      </c>
      <c r="BD6" t="str">
        <f t="shared" si="0"/>
        <v/>
      </c>
      <c r="BE6" t="str">
        <f t="shared" si="0"/>
        <v/>
      </c>
      <c r="BF6" t="str">
        <f t="shared" si="0"/>
        <v/>
      </c>
      <c r="BG6" t="str">
        <f t="shared" si="0"/>
        <v/>
      </c>
      <c r="BH6" t="str">
        <f t="shared" si="0"/>
        <v/>
      </c>
      <c r="BI6" t="str">
        <f t="shared" si="0"/>
        <v/>
      </c>
      <c r="BJ6" t="str">
        <f t="shared" si="0"/>
        <v/>
      </c>
      <c r="BK6" t="str">
        <f t="shared" si="0"/>
        <v/>
      </c>
      <c r="BL6" t="str">
        <f t="shared" si="0"/>
        <v/>
      </c>
      <c r="BM6" t="str">
        <f t="shared" si="0"/>
        <v/>
      </c>
      <c r="BN6" t="str">
        <f t="shared" ref="BN6:CB6" si="1">MID($A$3,BN5,2)</f>
        <v/>
      </c>
      <c r="BO6" t="str">
        <f t="shared" si="1"/>
        <v/>
      </c>
      <c r="BP6" t="str">
        <f t="shared" si="1"/>
        <v/>
      </c>
      <c r="BQ6" t="str">
        <f t="shared" si="1"/>
        <v/>
      </c>
      <c r="BR6" t="str">
        <f t="shared" si="1"/>
        <v/>
      </c>
      <c r="BS6" t="str">
        <f t="shared" si="1"/>
        <v/>
      </c>
      <c r="BT6" t="str">
        <f t="shared" si="1"/>
        <v/>
      </c>
      <c r="BU6" t="str">
        <f t="shared" si="1"/>
        <v/>
      </c>
      <c r="BV6" t="str">
        <f t="shared" si="1"/>
        <v/>
      </c>
      <c r="BW6" t="str">
        <f t="shared" si="1"/>
        <v/>
      </c>
      <c r="BX6" t="str">
        <f t="shared" si="1"/>
        <v/>
      </c>
      <c r="BY6" t="str">
        <f t="shared" si="1"/>
        <v/>
      </c>
      <c r="BZ6" t="str">
        <f t="shared" si="1"/>
        <v/>
      </c>
      <c r="CA6" t="str">
        <f t="shared" si="1"/>
        <v/>
      </c>
      <c r="CB6" t="str">
        <f t="shared" si="1"/>
        <v/>
      </c>
    </row>
    <row r="7" spans="1:81" s="8" customFormat="1" hidden="1" x14ac:dyDescent="0.25">
      <c r="A7" s="8" t="s">
        <v>1</v>
      </c>
      <c r="B7" s="3" t="str">
        <f t="shared" ref="B7:BM7" si="2">HEX2BIN(B6,8)</f>
        <v>10111000</v>
      </c>
      <c r="C7" s="3" t="str">
        <f t="shared" si="2"/>
        <v>00000111</v>
      </c>
      <c r="D7" s="3" t="str">
        <f t="shared" si="2"/>
        <v>11010011</v>
      </c>
      <c r="E7" s="3" t="str">
        <f t="shared" si="2"/>
        <v>11111111</v>
      </c>
      <c r="F7" s="3" t="str">
        <f t="shared" si="2"/>
        <v>11110010</v>
      </c>
      <c r="G7" s="3" t="str">
        <f t="shared" si="2"/>
        <v>01111111</v>
      </c>
      <c r="H7" s="3" t="str">
        <f t="shared" si="2"/>
        <v>11111100</v>
      </c>
      <c r="I7" s="3" t="str">
        <f t="shared" si="2"/>
        <v>00000000</v>
      </c>
      <c r="J7" s="3" t="str">
        <f t="shared" si="2"/>
        <v>01001101</v>
      </c>
      <c r="K7" s="3" t="str">
        <f t="shared" si="2"/>
        <v>01000000</v>
      </c>
      <c r="L7" s="3" t="str">
        <f t="shared" si="2"/>
        <v>00000000</v>
      </c>
      <c r="M7" s="3" t="str">
        <f t="shared" si="2"/>
        <v>00000000</v>
      </c>
      <c r="N7" s="3" t="str">
        <f t="shared" si="2"/>
        <v>10010110</v>
      </c>
      <c r="O7" s="3" t="str">
        <f t="shared" si="2"/>
        <v>10000000</v>
      </c>
      <c r="P7" s="3" t="str">
        <f t="shared" si="2"/>
        <v>00100000</v>
      </c>
      <c r="Q7" s="3" t="str">
        <f t="shared" si="2"/>
        <v>00000000</v>
      </c>
      <c r="R7" s="3" t="str">
        <f t="shared" si="2"/>
        <v>00111000</v>
      </c>
      <c r="S7" s="3" t="str">
        <f t="shared" si="2"/>
        <v>00101000</v>
      </c>
      <c r="T7" s="3" t="str">
        <f t="shared" si="2"/>
        <v>00101111</v>
      </c>
      <c r="U7" s="3" t="str">
        <f t="shared" si="2"/>
        <v>10111101</v>
      </c>
      <c r="V7" s="3" t="str">
        <f t="shared" si="2"/>
        <v>00001100</v>
      </c>
      <c r="W7" s="3" t="str">
        <f t="shared" si="2"/>
        <v>10101000</v>
      </c>
      <c r="X7" s="3" t="str">
        <f t="shared" si="2"/>
        <v>00000000</v>
      </c>
      <c r="Y7" s="3" t="str">
        <f t="shared" si="2"/>
        <v>00001111</v>
      </c>
      <c r="Z7" s="3" t="str">
        <f t="shared" si="2"/>
        <v>11111111</v>
      </c>
      <c r="AA7" s="3" t="str">
        <f t="shared" si="2"/>
        <v>11111111</v>
      </c>
      <c r="AB7" s="3" t="str">
        <f t="shared" si="2"/>
        <v>11111111</v>
      </c>
      <c r="AC7" s="3" t="str">
        <f t="shared" si="2"/>
        <v>11111111</v>
      </c>
      <c r="AD7" s="3" t="str">
        <f t="shared" si="2"/>
        <v>11111111</v>
      </c>
      <c r="AE7" s="3" t="str">
        <f t="shared" si="2"/>
        <v>11111111</v>
      </c>
      <c r="AF7" s="3" t="str">
        <f t="shared" si="2"/>
        <v>11111111</v>
      </c>
      <c r="AG7" s="3" t="str">
        <f t="shared" si="2"/>
        <v>11111111</v>
      </c>
      <c r="AH7" s="3" t="str">
        <f t="shared" si="2"/>
        <v>11111111</v>
      </c>
      <c r="AI7" s="3" t="str">
        <f t="shared" si="2"/>
        <v>11111111</v>
      </c>
      <c r="AJ7" s="3" t="str">
        <f t="shared" si="2"/>
        <v>11111111</v>
      </c>
      <c r="AK7" s="3" t="str">
        <f t="shared" si="2"/>
        <v>11111111</v>
      </c>
      <c r="AL7" s="3" t="str">
        <f t="shared" si="2"/>
        <v>11111111</v>
      </c>
      <c r="AM7" s="3" t="str">
        <f t="shared" si="2"/>
        <v>11111111</v>
      </c>
      <c r="AN7" s="3" t="str">
        <f t="shared" si="2"/>
        <v>11110000</v>
      </c>
      <c r="AO7" s="3" t="str">
        <f t="shared" si="2"/>
        <v>00000000</v>
      </c>
      <c r="AP7" s="3" t="str">
        <f t="shared" si="2"/>
        <v>00000000</v>
      </c>
      <c r="AQ7" s="3" t="str">
        <f t="shared" si="2"/>
        <v>00000000</v>
      </c>
      <c r="AR7" s="3" t="str">
        <f t="shared" si="2"/>
        <v>00000000</v>
      </c>
      <c r="AS7" s="3" t="str">
        <f t="shared" si="2"/>
        <v>00000000</v>
      </c>
      <c r="AT7" s="3" t="str">
        <f t="shared" si="2"/>
        <v>00000000</v>
      </c>
      <c r="AU7" s="3" t="str">
        <f t="shared" si="2"/>
        <v>00000000</v>
      </c>
      <c r="AV7" s="3" t="str">
        <f t="shared" si="2"/>
        <v>00000000</v>
      </c>
      <c r="AW7" s="3" t="str">
        <f t="shared" si="2"/>
        <v>00000000</v>
      </c>
      <c r="AX7" s="3" t="str">
        <f t="shared" si="2"/>
        <v>00000000</v>
      </c>
      <c r="AY7" s="3" t="str">
        <f t="shared" si="2"/>
        <v>00000000</v>
      </c>
      <c r="AZ7" s="3" t="str">
        <f t="shared" si="2"/>
        <v>00000000</v>
      </c>
      <c r="BA7" s="3" t="str">
        <f t="shared" si="2"/>
        <v>00000000</v>
      </c>
      <c r="BB7" s="3" t="str">
        <f t="shared" si="2"/>
        <v>00000000</v>
      </c>
      <c r="BC7" s="3" t="str">
        <f t="shared" si="2"/>
        <v>00000000</v>
      </c>
      <c r="BD7" s="3" t="str">
        <f t="shared" si="2"/>
        <v>00000000</v>
      </c>
      <c r="BE7" s="3" t="str">
        <f t="shared" si="2"/>
        <v>00000000</v>
      </c>
      <c r="BF7" s="3" t="str">
        <f t="shared" si="2"/>
        <v>00000000</v>
      </c>
      <c r="BG7" s="3" t="str">
        <f t="shared" si="2"/>
        <v>00000000</v>
      </c>
      <c r="BH7" s="3" t="str">
        <f t="shared" si="2"/>
        <v>00000000</v>
      </c>
      <c r="BI7" s="3" t="str">
        <f t="shared" si="2"/>
        <v>00000000</v>
      </c>
      <c r="BJ7" s="3" t="str">
        <f t="shared" si="2"/>
        <v>00000000</v>
      </c>
      <c r="BK7" s="3" t="str">
        <f t="shared" si="2"/>
        <v>00000000</v>
      </c>
      <c r="BL7" s="3" t="str">
        <f t="shared" si="2"/>
        <v>00000000</v>
      </c>
      <c r="BM7" s="3" t="str">
        <f t="shared" si="2"/>
        <v>00000000</v>
      </c>
      <c r="BN7" s="3" t="str">
        <f t="shared" ref="BN7:CB7" si="3">HEX2BIN(BN6,8)</f>
        <v>00000000</v>
      </c>
      <c r="BO7" s="3" t="str">
        <f t="shared" si="3"/>
        <v>00000000</v>
      </c>
      <c r="BP7" s="3" t="str">
        <f t="shared" si="3"/>
        <v>00000000</v>
      </c>
      <c r="BQ7" s="3" t="str">
        <f t="shared" si="3"/>
        <v>00000000</v>
      </c>
      <c r="BR7" s="3" t="str">
        <f t="shared" si="3"/>
        <v>00000000</v>
      </c>
      <c r="BS7" s="3" t="str">
        <f t="shared" si="3"/>
        <v>00000000</v>
      </c>
      <c r="BT7" s="3" t="str">
        <f t="shared" si="3"/>
        <v>00000000</v>
      </c>
      <c r="BU7" s="3" t="str">
        <f t="shared" si="3"/>
        <v>00000000</v>
      </c>
      <c r="BV7" s="3" t="str">
        <f t="shared" si="3"/>
        <v>00000000</v>
      </c>
      <c r="BW7" s="3" t="str">
        <f t="shared" si="3"/>
        <v>00000000</v>
      </c>
      <c r="BX7" s="3" t="str">
        <f t="shared" si="3"/>
        <v>00000000</v>
      </c>
      <c r="BY7" s="3" t="str">
        <f t="shared" si="3"/>
        <v>00000000</v>
      </c>
      <c r="BZ7" s="3" t="str">
        <f t="shared" si="3"/>
        <v>00000000</v>
      </c>
      <c r="CA7" s="3" t="str">
        <f t="shared" si="3"/>
        <v>00000000</v>
      </c>
      <c r="CB7" s="3" t="str">
        <f t="shared" si="3"/>
        <v>00000000</v>
      </c>
    </row>
    <row r="9" spans="1:81" x14ac:dyDescent="0.25">
      <c r="A9" s="9" t="s">
        <v>2</v>
      </c>
      <c r="B9" s="9" t="s">
        <v>1</v>
      </c>
      <c r="C9" s="9" t="s">
        <v>3</v>
      </c>
      <c r="D9" s="9"/>
      <c r="E9" s="9" t="s">
        <v>4</v>
      </c>
      <c r="F9" s="9" t="s">
        <v>5</v>
      </c>
      <c r="G9" s="9" t="s">
        <v>6</v>
      </c>
      <c r="I9" s="9" t="s">
        <v>7</v>
      </c>
    </row>
    <row r="10" spans="1:81" x14ac:dyDescent="0.25">
      <c r="A10" t="s">
        <v>8</v>
      </c>
      <c r="B10" s="6">
        <v>12</v>
      </c>
      <c r="C10" s="6" t="str">
        <f>CONCATENATE($B$7,LEFT($C$7,4))</f>
        <v>101110000000</v>
      </c>
      <c r="D10" s="6"/>
      <c r="E10" s="6" t="str">
        <f>CONCATENATE(BIN2HEX(LEFT($C$10,4)),BIN2HEX(RIGHT($C$10,8),2))</f>
        <v>B80</v>
      </c>
      <c r="F10" s="10">
        <f>HEX2DEC(E10)</f>
        <v>2944</v>
      </c>
      <c r="G10" s="11">
        <f>F10/4096* 3.3 * 3.133</f>
        <v>7.4310843749999993</v>
      </c>
      <c r="H10" s="12" t="s">
        <v>9</v>
      </c>
    </row>
    <row r="11" spans="1:81" x14ac:dyDescent="0.25">
      <c r="A11" t="s">
        <v>10</v>
      </c>
      <c r="B11" s="6">
        <v>12</v>
      </c>
      <c r="C11" s="6" t="str">
        <f>CONCATENATE(RIGHT($C$7,4),LEFT($D$7,8))</f>
        <v>011111010011</v>
      </c>
      <c r="D11" s="6" t="s">
        <v>11</v>
      </c>
      <c r="E11" s="6" t="str">
        <f>CONCATENATE(BIN2HEX(LEFT($C$11,4)),BIN2HEX(RIGHT($C$11,8),2))</f>
        <v>7D3</v>
      </c>
      <c r="F11" s="10">
        <f>HEX2DEC(E11)</f>
        <v>2003</v>
      </c>
      <c r="G11" s="11">
        <f>((F11 - HEX2DEC(MID(D11,1,4))) * ((85 - 30)) / (HEX2DEC(MID(D11,5,4)) - HEX2DEC(MID(D11,1,4)))) + 30</f>
        <v>10.727762803234501</v>
      </c>
      <c r="H11" s="12" t="s">
        <v>12</v>
      </c>
      <c r="I11" s="11">
        <f>((F11 - HEX2DEC(MID(L11,1,4))) * ((85 - 30)) / (HEX2DEC(MID(L11,5,4)) - HEX2DEC(MID(L11,1,4)))) + 30</f>
        <v>21.708542713567837</v>
      </c>
      <c r="K11" t="s">
        <v>13</v>
      </c>
      <c r="L11" s="13" t="s">
        <v>14</v>
      </c>
    </row>
    <row r="12" spans="1:81" x14ac:dyDescent="0.25">
      <c r="A12" t="s">
        <v>15</v>
      </c>
      <c r="B12" s="6">
        <v>10</v>
      </c>
      <c r="C12" s="6" t="str">
        <f>CONCATENATE($E$7,LEFT($F$7,2))</f>
        <v>1111111111</v>
      </c>
      <c r="D12" s="6"/>
      <c r="E12" s="6" t="str">
        <f>CONCATENATE(BIN2HEX(LEFT($C$12,2)),BIN2HEX(RIGHT($C$12,8)))</f>
        <v>3FF</v>
      </c>
      <c r="F12" s="10">
        <f>HEX2DEC(E12)</f>
        <v>1023</v>
      </c>
      <c r="G12" s="14" t="str">
        <f>IF(F12=1023,"null",-5.4311 *F12 + 4636.0085)</f>
        <v>null</v>
      </c>
      <c r="H12" s="15" t="s">
        <v>16</v>
      </c>
    </row>
    <row r="13" spans="1:81" x14ac:dyDescent="0.25">
      <c r="A13" t="s">
        <v>17</v>
      </c>
      <c r="B13" s="6">
        <v>10</v>
      </c>
      <c r="C13" s="6" t="str">
        <f>CONCATENATE(RIGHT($F$7,6),LEFT($G$7,4))</f>
        <v>1100100111</v>
      </c>
      <c r="D13" s="6"/>
      <c r="E13" s="6" t="str">
        <f>CONCATENATE(BIN2HEX(LEFT($C$13,2)),BIN2HEX(RIGHT($C$13,8),2))</f>
        <v>327</v>
      </c>
      <c r="F13" s="10">
        <f>HEX2DEC(E13)</f>
        <v>807</v>
      </c>
      <c r="G13" s="14">
        <f>IF(F13=1023,"null",-5.4311 *F13 + 4636.0085)</f>
        <v>253.11080000000038</v>
      </c>
      <c r="H13" s="15" t="s">
        <v>16</v>
      </c>
      <c r="K13">
        <f>HEX2DEC(MID(D11,1,4))</f>
        <v>2133</v>
      </c>
    </row>
    <row r="14" spans="1:81" x14ac:dyDescent="0.25">
      <c r="A14" t="s">
        <v>18</v>
      </c>
      <c r="B14" s="6">
        <v>10</v>
      </c>
      <c r="C14" s="6" t="str">
        <f>CONCATENATE(RIGHT($G$7,4),LEFT($H$7,6))</f>
        <v>1111111111</v>
      </c>
      <c r="D14" s="6"/>
      <c r="E14" s="6" t="str">
        <f>CONCATENATE(BIN2HEX(LEFT($C$14,2)),BIN2HEX(RIGHT($C$14,8)))</f>
        <v>3FF</v>
      </c>
      <c r="F14" s="10">
        <f>HEX2DEC(E14)</f>
        <v>1023</v>
      </c>
      <c r="G14" s="14" t="str">
        <f>IF(F14=1023,"null",-5.4311 *F14 + 4636.0085)</f>
        <v>null</v>
      </c>
      <c r="H14" s="15" t="s">
        <v>16</v>
      </c>
      <c r="K14">
        <f>HEX2DEC(MID(D11,5,4))</f>
        <v>2504</v>
      </c>
    </row>
    <row r="15" spans="1:81" x14ac:dyDescent="0.25">
      <c r="A15" t="s">
        <v>19</v>
      </c>
      <c r="B15" s="6">
        <v>16</v>
      </c>
      <c r="C15" s="16" t="str">
        <f>CONCATENATE(RIGHT($H$7,2),$I$7,LEFT($J$7,6))</f>
        <v>0000000000010011</v>
      </c>
      <c r="D15" s="6"/>
      <c r="E15" s="6" t="str">
        <f>CONCATENATE(BIN2HEX(LEFT($C$15,8)),BIN2HEX(RIGHT($C$15,8)))</f>
        <v>013</v>
      </c>
      <c r="F15" s="6"/>
      <c r="G15" s="17">
        <f>HEX2DEC(E15)</f>
        <v>19</v>
      </c>
      <c r="H15" s="18" t="s">
        <v>12</v>
      </c>
    </row>
    <row r="16" spans="1:81" x14ac:dyDescent="0.25">
      <c r="A16" t="s">
        <v>20</v>
      </c>
      <c r="B16" s="6">
        <v>4</v>
      </c>
      <c r="C16" s="6" t="str">
        <f>CONCATENATE(RIGHT($J$7,2),LEFT($K$7,2))</f>
        <v>0101</v>
      </c>
      <c r="D16" s="6"/>
      <c r="E16" s="6" t="str">
        <f>BIN2HEX($C$16)</f>
        <v>5</v>
      </c>
      <c r="F16" s="19">
        <f>HEX2DEC(E16)</f>
        <v>5</v>
      </c>
      <c r="G16" s="20" t="str">
        <f>LOOKUP(F16,LookupTables!A2:A10,LookupTables!B2:B10)</f>
        <v>Low Power Mode</v>
      </c>
    </row>
    <row r="17" spans="1:32" x14ac:dyDescent="0.25">
      <c r="A17" t="s">
        <v>21</v>
      </c>
      <c r="B17" s="6">
        <v>3</v>
      </c>
      <c r="C17" s="6" t="str">
        <f>MID($K$7,3,3)</f>
        <v>000</v>
      </c>
      <c r="D17" s="6"/>
      <c r="E17" s="6" t="str">
        <f>BIN2HEX($C$17)</f>
        <v>0</v>
      </c>
      <c r="F17" s="19">
        <f>HEX2DEC(E17)</f>
        <v>0</v>
      </c>
      <c r="G17" s="20" t="str">
        <f>LOOKUP(F17,LookupTables!D2:D9,LookupTables!E2:E9)</f>
        <v>System reset</v>
      </c>
    </row>
    <row r="18" spans="1:32" x14ac:dyDescent="0.25">
      <c r="A18" t="s">
        <v>22</v>
      </c>
      <c r="B18" s="6">
        <v>32</v>
      </c>
      <c r="C18" s="6" t="str">
        <f>CONCATENATE(RIGHT($K$7,3),$L$7,$M$7,$N$7,LEFT($O$7,5))</f>
        <v>00000000000000000001001011010000</v>
      </c>
      <c r="D18" s="6"/>
      <c r="E18" s="6" t="str">
        <f>CONCATENATE(BIN2HEX(LEFT($C$18,8),2),BIN2HEX(MID($C$18,9,8),2),BIN2HEX(MID($C$18,17,8),2),BIN2HEX(RIGHT($C$18,8),2))</f>
        <v>000012D0</v>
      </c>
      <c r="F18" s="6"/>
      <c r="G18" s="17">
        <f>HEX2DEC(E18)</f>
        <v>4816</v>
      </c>
      <c r="H18" s="18" t="s">
        <v>23</v>
      </c>
      <c r="J18" s="21">
        <f>ROUNDDOWN(CONVERT(G18,"sec","hr"),0)</f>
        <v>1</v>
      </c>
      <c r="K18" s="21" t="s">
        <v>24</v>
      </c>
      <c r="L18" s="21">
        <f>ROUNDDOWN(CONVERT(G18-3600*J18,"sec","mn"),0)</f>
        <v>20</v>
      </c>
      <c r="M18" s="21" t="s">
        <v>25</v>
      </c>
      <c r="N18" s="21">
        <f>G18-3600*J18-60*L18</f>
        <v>16</v>
      </c>
      <c r="O18" s="21" t="s">
        <v>26</v>
      </c>
    </row>
    <row r="19" spans="1:32" x14ac:dyDescent="0.25">
      <c r="A19" t="s">
        <v>27</v>
      </c>
      <c r="B19" s="6">
        <v>8</v>
      </c>
      <c r="C19" s="6" t="str">
        <f>RIGHT($O$7,3)&amp;LEFT($P$7,5)</f>
        <v>00000100</v>
      </c>
      <c r="D19" s="6"/>
      <c r="E19" s="6" t="str">
        <f>BIN2HEX($C$19)</f>
        <v>4</v>
      </c>
      <c r="F19" s="6"/>
      <c r="G19" s="17">
        <f>HEX2DEC(E19)</f>
        <v>4</v>
      </c>
      <c r="H19" s="18" t="s">
        <v>28</v>
      </c>
    </row>
    <row r="20" spans="1:32" x14ac:dyDescent="0.25">
      <c r="A20" t="s">
        <v>29</v>
      </c>
      <c r="B20" s="6">
        <v>16</v>
      </c>
      <c r="C20" s="6" t="str">
        <f>RIGHT($P$7,3)&amp;$Q$7&amp;LEFT($R$7,5)</f>
        <v>0000000000000111</v>
      </c>
      <c r="D20" s="6"/>
      <c r="E20" s="6" t="str">
        <f>BIN2HEX(LEFT($C$20,8))&amp;BIN2HEX(RIGHT($C$20,8))</f>
        <v>07</v>
      </c>
      <c r="F20" s="6"/>
      <c r="G20" s="17">
        <f>HEX2DEC(E20)</f>
        <v>7</v>
      </c>
      <c r="H20" s="18" t="s">
        <v>30</v>
      </c>
    </row>
    <row r="21" spans="1:32" x14ac:dyDescent="0.25">
      <c r="A21" t="s">
        <v>31</v>
      </c>
      <c r="B21" s="6">
        <v>8</v>
      </c>
      <c r="C21" s="6" t="str">
        <f>RIGHT($R$7,3)&amp;LEFT($S$7,5)</f>
        <v>00000101</v>
      </c>
      <c r="D21" s="6"/>
      <c r="E21" s="6" t="str">
        <f>BIN2HEX($C$21)</f>
        <v>5</v>
      </c>
      <c r="F21" s="6"/>
      <c r="G21" s="17">
        <f>HEX2DEC(E21)</f>
        <v>5</v>
      </c>
      <c r="H21" s="18" t="s">
        <v>32</v>
      </c>
    </row>
    <row r="22" spans="1:32" x14ac:dyDescent="0.25">
      <c r="A22" s="22" t="s">
        <v>33</v>
      </c>
      <c r="B22" s="23">
        <v>8</v>
      </c>
      <c r="C22" s="6" t="str">
        <f>RIGHT($S$7,3)&amp;LEFT($T$7,5)</f>
        <v>00000101</v>
      </c>
      <c r="D22" s="6"/>
      <c r="E22" s="6" t="str">
        <f>BIN2HEX($C$22)</f>
        <v>5</v>
      </c>
      <c r="F22" s="6"/>
      <c r="G22" s="17">
        <f>HEX2DEC(E22)</f>
        <v>5</v>
      </c>
      <c r="H22" s="18" t="s">
        <v>34</v>
      </c>
    </row>
    <row r="23" spans="1:32" x14ac:dyDescent="0.25">
      <c r="A23" s="24" t="s">
        <v>35</v>
      </c>
      <c r="B23" s="25">
        <v>26</v>
      </c>
      <c r="C23" s="6" t="str">
        <f>RIGHT($T$7,3)&amp;$U$7&amp;$V$7&amp;LEFT($W$7,7)</f>
        <v>11110111101000011001010100</v>
      </c>
      <c r="D23" s="6"/>
      <c r="E23" s="6"/>
      <c r="F23" s="6"/>
      <c r="G23" s="26" t="s">
        <v>36</v>
      </c>
      <c r="H23" s="26" t="s">
        <v>37</v>
      </c>
      <c r="I23" s="26" t="s">
        <v>38</v>
      </c>
      <c r="J23" s="26" t="s">
        <v>39</v>
      </c>
      <c r="K23" s="26" t="s">
        <v>40</v>
      </c>
      <c r="L23" s="26" t="s">
        <v>41</v>
      </c>
      <c r="M23" s="26" t="s">
        <v>42</v>
      </c>
      <c r="N23" s="26" t="s">
        <v>43</v>
      </c>
      <c r="O23" s="26" t="s">
        <v>44</v>
      </c>
      <c r="P23" s="26" t="s">
        <v>45</v>
      </c>
      <c r="Q23" s="26" t="s">
        <v>46</v>
      </c>
      <c r="R23" s="26" t="s">
        <v>47</v>
      </c>
      <c r="S23" s="26" t="s">
        <v>48</v>
      </c>
      <c r="T23" s="26" t="s">
        <v>49</v>
      </c>
      <c r="U23" s="26" t="s">
        <v>50</v>
      </c>
      <c r="V23" s="26" t="s">
        <v>51</v>
      </c>
      <c r="W23" s="26" t="s">
        <v>52</v>
      </c>
      <c r="X23" s="26" t="s">
        <v>53</v>
      </c>
      <c r="Y23" s="26" t="s">
        <v>54</v>
      </c>
      <c r="Z23" s="26" t="s">
        <v>55</v>
      </c>
      <c r="AA23" s="26" t="s">
        <v>56</v>
      </c>
      <c r="AB23" s="26" t="s">
        <v>57</v>
      </c>
      <c r="AC23" s="26" t="s">
        <v>58</v>
      </c>
      <c r="AD23" s="26" t="s">
        <v>59</v>
      </c>
      <c r="AE23" s="26" t="s">
        <v>60</v>
      </c>
      <c r="AF23" s="26" t="s">
        <v>61</v>
      </c>
    </row>
    <row r="24" spans="1:32" x14ac:dyDescent="0.25">
      <c r="A24" s="24"/>
      <c r="B24" s="25"/>
      <c r="C24" s="6"/>
      <c r="D24" s="6"/>
      <c r="E24" s="6"/>
      <c r="F24" s="6"/>
      <c r="G24" s="27">
        <f t="shared" ref="G24:AF24" si="4">BIN2DEC(MID($C$23,G25,1))</f>
        <v>1</v>
      </c>
      <c r="H24" s="27">
        <f t="shared" si="4"/>
        <v>1</v>
      </c>
      <c r="I24" s="27">
        <f t="shared" si="4"/>
        <v>1</v>
      </c>
      <c r="J24" s="27">
        <f t="shared" si="4"/>
        <v>1</v>
      </c>
      <c r="K24" s="27">
        <f t="shared" si="4"/>
        <v>0</v>
      </c>
      <c r="L24" s="27">
        <f t="shared" si="4"/>
        <v>1</v>
      </c>
      <c r="M24" s="27">
        <f t="shared" si="4"/>
        <v>1</v>
      </c>
      <c r="N24" s="27">
        <f t="shared" si="4"/>
        <v>1</v>
      </c>
      <c r="O24" s="27">
        <f t="shared" si="4"/>
        <v>1</v>
      </c>
      <c r="P24" s="27">
        <f t="shared" si="4"/>
        <v>0</v>
      </c>
      <c r="Q24" s="27">
        <f t="shared" si="4"/>
        <v>1</v>
      </c>
      <c r="R24" s="27">
        <f t="shared" si="4"/>
        <v>0</v>
      </c>
      <c r="S24" s="27">
        <f t="shared" si="4"/>
        <v>0</v>
      </c>
      <c r="T24" s="27">
        <f t="shared" si="4"/>
        <v>0</v>
      </c>
      <c r="U24" s="27">
        <f t="shared" si="4"/>
        <v>0</v>
      </c>
      <c r="V24" s="27">
        <f t="shared" si="4"/>
        <v>1</v>
      </c>
      <c r="W24" s="27">
        <f t="shared" si="4"/>
        <v>1</v>
      </c>
      <c r="X24" s="27">
        <f t="shared" si="4"/>
        <v>0</v>
      </c>
      <c r="Y24" s="27">
        <f t="shared" si="4"/>
        <v>0</v>
      </c>
      <c r="Z24" s="27">
        <f t="shared" si="4"/>
        <v>1</v>
      </c>
      <c r="AA24" s="27">
        <f t="shared" si="4"/>
        <v>0</v>
      </c>
      <c r="AB24" s="27">
        <f t="shared" si="4"/>
        <v>1</v>
      </c>
      <c r="AC24" s="27">
        <f t="shared" si="4"/>
        <v>0</v>
      </c>
      <c r="AD24" s="27">
        <f t="shared" si="4"/>
        <v>1</v>
      </c>
      <c r="AE24" s="27">
        <f t="shared" si="4"/>
        <v>0</v>
      </c>
      <c r="AF24" s="27">
        <f t="shared" si="4"/>
        <v>0</v>
      </c>
    </row>
    <row r="25" spans="1:32" hidden="1" x14ac:dyDescent="0.25">
      <c r="B25" s="6"/>
      <c r="C25" s="6"/>
      <c r="D25" s="6"/>
      <c r="E25" s="6"/>
      <c r="F25" s="6"/>
      <c r="G25">
        <v>1</v>
      </c>
      <c r="H25">
        <v>2</v>
      </c>
      <c r="I25">
        <v>3</v>
      </c>
      <c r="J25">
        <v>4</v>
      </c>
      <c r="K25">
        <v>5</v>
      </c>
      <c r="L25">
        <v>6</v>
      </c>
      <c r="M25">
        <v>7</v>
      </c>
      <c r="N25">
        <v>8</v>
      </c>
      <c r="O25">
        <v>9</v>
      </c>
      <c r="P25">
        <v>10</v>
      </c>
      <c r="Q25">
        <v>11</v>
      </c>
      <c r="R25">
        <v>12</v>
      </c>
      <c r="S25">
        <v>13</v>
      </c>
      <c r="T25">
        <v>14</v>
      </c>
      <c r="U25">
        <v>15</v>
      </c>
      <c r="V25">
        <v>16</v>
      </c>
      <c r="W25">
        <v>17</v>
      </c>
      <c r="X25">
        <v>18</v>
      </c>
      <c r="Y25">
        <v>19</v>
      </c>
      <c r="Z25">
        <v>20</v>
      </c>
      <c r="AA25">
        <v>21</v>
      </c>
      <c r="AB25">
        <v>22</v>
      </c>
      <c r="AC25">
        <v>23</v>
      </c>
      <c r="AD25">
        <v>24</v>
      </c>
      <c r="AE25">
        <v>25</v>
      </c>
      <c r="AF25">
        <v>26</v>
      </c>
    </row>
    <row r="26" spans="1:32" x14ac:dyDescent="0.25">
      <c r="A26" s="24" t="s">
        <v>62</v>
      </c>
      <c r="B26" s="25">
        <f>9+4</f>
        <v>13</v>
      </c>
      <c r="C26" s="6" t="str">
        <f>RIGHT($W$7,1)&amp;$X$7&amp;LEFT($Y$7,4)</f>
        <v>0000000000000</v>
      </c>
      <c r="D26" s="6"/>
      <c r="E26" s="6" t="str">
        <f>BIN2HEX(LEFT($C$26,5))&amp;BIN2HEX(RIGHT($C$26,8))</f>
        <v>00</v>
      </c>
      <c r="F26" s="6"/>
      <c r="G26" s="28" t="s">
        <v>63</v>
      </c>
      <c r="H26" s="28" t="s">
        <v>64</v>
      </c>
      <c r="I26" s="28" t="s">
        <v>65</v>
      </c>
      <c r="J26" s="28" t="s">
        <v>66</v>
      </c>
      <c r="K26" s="28" t="s">
        <v>67</v>
      </c>
      <c r="L26" s="28" t="s">
        <v>68</v>
      </c>
      <c r="M26" s="28" t="s">
        <v>69</v>
      </c>
      <c r="N26" s="28" t="s">
        <v>70</v>
      </c>
      <c r="O26" s="28" t="s">
        <v>71</v>
      </c>
      <c r="P26" s="28" t="s">
        <v>72</v>
      </c>
      <c r="Q26" s="28" t="s">
        <v>73</v>
      </c>
      <c r="R26" s="28" t="s">
        <v>74</v>
      </c>
      <c r="S26" s="28" t="s">
        <v>75</v>
      </c>
    </row>
    <row r="27" spans="1:32" x14ac:dyDescent="0.25">
      <c r="A27" s="24"/>
      <c r="B27" s="25"/>
      <c r="C27" s="6"/>
      <c r="D27" s="6"/>
      <c r="E27" s="6"/>
      <c r="F27" s="6"/>
      <c r="G27" s="28" t="str">
        <f>LOOKUP(BeaconDecoder!G28,LookupTables!$J$2:$K$3)</f>
        <v>not active</v>
      </c>
      <c r="H27" s="28" t="str">
        <f>LOOKUP(BeaconDecoder!H28,LookupTables!$J$2:$K$3)</f>
        <v>not active</v>
      </c>
      <c r="I27" s="28" t="str">
        <f>LOOKUP(BeaconDecoder!I28,LookupTables!$J$2:$K$3)</f>
        <v>not active</v>
      </c>
      <c r="J27" s="28" t="str">
        <f>LOOKUP(BeaconDecoder!J28,LookupTables!$J$2:$K$3)</f>
        <v>not active</v>
      </c>
      <c r="K27" s="28" t="str">
        <f>LOOKUP(K28,LookupTables!$J$6:$K$7)</f>
        <v>Not deployed</v>
      </c>
      <c r="L27" s="28" t="str">
        <f>LOOKUP(L28,LookupTables!$J$6:$K$7)</f>
        <v>Not deployed</v>
      </c>
      <c r="M27" s="28" t="str">
        <f>LOOKUP(M28,LookupTables!$J$6:$K$7)</f>
        <v>Not deployed</v>
      </c>
      <c r="N27" s="28" t="str">
        <f>LOOKUP(N28,LookupTables!$J$6:$K$7)</f>
        <v>Not deployed</v>
      </c>
      <c r="O27" s="28" t="str">
        <f>LOOKUP(O28,LookupTables!J10:K11)</f>
        <v>Disable</v>
      </c>
      <c r="P27" s="28" t="str">
        <f>LOOKUP(P28,LookupTables!$J$6:$K$7)</f>
        <v>Not deployed</v>
      </c>
      <c r="Q27" s="28" t="str">
        <f>LOOKUP(Q28,LookupTables!$J$6:$K$7)</f>
        <v>Not deployed</v>
      </c>
      <c r="R27" s="28" t="str">
        <f>LOOKUP(R28,LookupTables!$J$6:$K$7)</f>
        <v>Not deployed</v>
      </c>
      <c r="S27" s="28" t="str">
        <f>LOOKUP(S28,LookupTables!$J$6:$K$7)</f>
        <v>Not deployed</v>
      </c>
    </row>
    <row r="28" spans="1:32" hidden="1" x14ac:dyDescent="0.25">
      <c r="A28" s="24"/>
      <c r="B28" s="25"/>
      <c r="C28" s="6"/>
      <c r="D28" s="6"/>
      <c r="E28" s="6"/>
      <c r="F28" s="6"/>
      <c r="G28" s="26">
        <f t="shared" ref="G28:S28" si="5">BIN2DEC(MID($C$26,G29,1))</f>
        <v>0</v>
      </c>
      <c r="H28" s="26">
        <f t="shared" si="5"/>
        <v>0</v>
      </c>
      <c r="I28" s="29">
        <f t="shared" si="5"/>
        <v>0</v>
      </c>
      <c r="J28" s="26">
        <f t="shared" si="5"/>
        <v>0</v>
      </c>
      <c r="K28" s="26">
        <f t="shared" si="5"/>
        <v>0</v>
      </c>
      <c r="L28" s="26">
        <f t="shared" si="5"/>
        <v>0</v>
      </c>
      <c r="M28" s="26">
        <f t="shared" si="5"/>
        <v>0</v>
      </c>
      <c r="N28" s="26">
        <f t="shared" si="5"/>
        <v>0</v>
      </c>
      <c r="O28" s="26">
        <f t="shared" si="5"/>
        <v>0</v>
      </c>
      <c r="P28" s="26">
        <f t="shared" si="5"/>
        <v>0</v>
      </c>
      <c r="Q28" s="26">
        <f t="shared" si="5"/>
        <v>0</v>
      </c>
      <c r="R28" s="26">
        <f t="shared" si="5"/>
        <v>0</v>
      </c>
      <c r="S28" s="26">
        <f t="shared" si="5"/>
        <v>0</v>
      </c>
    </row>
    <row r="29" spans="1:32" hidden="1" x14ac:dyDescent="0.25">
      <c r="A29" s="24"/>
      <c r="B29" s="25"/>
      <c r="C29" s="6"/>
      <c r="D29" s="6"/>
      <c r="E29" s="6"/>
      <c r="F29" s="6"/>
      <c r="G29" s="26">
        <v>1</v>
      </c>
      <c r="H29" s="26">
        <v>2</v>
      </c>
      <c r="I29" s="26">
        <v>3</v>
      </c>
      <c r="J29" s="26">
        <v>4</v>
      </c>
      <c r="K29" s="26">
        <v>5</v>
      </c>
      <c r="L29" s="26">
        <v>6</v>
      </c>
      <c r="M29" s="26">
        <v>7</v>
      </c>
      <c r="N29" s="26">
        <v>8</v>
      </c>
      <c r="O29" s="26">
        <v>9</v>
      </c>
      <c r="P29" s="26">
        <v>10</v>
      </c>
      <c r="Q29" s="26">
        <v>11</v>
      </c>
      <c r="R29" s="26">
        <v>12</v>
      </c>
      <c r="S29" s="26">
        <v>13</v>
      </c>
    </row>
    <row r="30" spans="1:32" x14ac:dyDescent="0.25">
      <c r="A30" s="24" t="s">
        <v>76</v>
      </c>
      <c r="B30" s="25">
        <v>10</v>
      </c>
      <c r="C30" s="6" t="str">
        <f>RIGHT($Y$7,4)&amp;LEFT($Z$7,6)</f>
        <v>1111111111</v>
      </c>
      <c r="D30" s="6"/>
      <c r="E30" s="6" t="str">
        <f t="shared" ref="E30:E41" si="6">BIN2HEX(LEFT(C30,2))&amp;BIN2HEX(RIGHT(C30,8))</f>
        <v>3FF</v>
      </c>
      <c r="F30" s="6">
        <f t="shared" ref="F30:F60" si="7">HEX2DEC(E30)</f>
        <v>1023</v>
      </c>
      <c r="G30" s="20" t="str">
        <f t="shared" ref="G30:G37" si="8">IF(F30=1023,"NA",-0.5431*F30+528.5093)</f>
        <v>NA</v>
      </c>
      <c r="H30" t="s">
        <v>16</v>
      </c>
      <c r="J30" t="s">
        <v>77</v>
      </c>
    </row>
    <row r="31" spans="1:32" x14ac:dyDescent="0.25">
      <c r="A31" s="24" t="s">
        <v>78</v>
      </c>
      <c r="B31" s="25">
        <v>10</v>
      </c>
      <c r="C31" s="6" t="str">
        <f>RIGHT($Z$7,2)&amp;$AA$7</f>
        <v>1111111111</v>
      </c>
      <c r="D31" s="6"/>
      <c r="E31" s="6" t="str">
        <f t="shared" si="6"/>
        <v>3FF</v>
      </c>
      <c r="F31" s="6">
        <f t="shared" si="7"/>
        <v>1023</v>
      </c>
      <c r="G31" s="20" t="str">
        <f t="shared" si="8"/>
        <v>NA</v>
      </c>
      <c r="H31" t="s">
        <v>16</v>
      </c>
    </row>
    <row r="32" spans="1:32" x14ac:dyDescent="0.25">
      <c r="A32" s="24" t="s">
        <v>79</v>
      </c>
      <c r="B32" s="25">
        <v>10</v>
      </c>
      <c r="C32" s="6" t="str">
        <f>AB7&amp;LEFT(AC7,2)</f>
        <v>1111111111</v>
      </c>
      <c r="E32" s="6" t="str">
        <f t="shared" si="6"/>
        <v>3FF</v>
      </c>
      <c r="F32" s="6">
        <f t="shared" si="7"/>
        <v>1023</v>
      </c>
      <c r="G32" s="20" t="str">
        <f t="shared" si="8"/>
        <v>NA</v>
      </c>
      <c r="H32" t="s">
        <v>16</v>
      </c>
    </row>
    <row r="33" spans="1:8" x14ac:dyDescent="0.25">
      <c r="A33" s="24" t="s">
        <v>80</v>
      </c>
      <c r="B33" s="25">
        <v>10</v>
      </c>
      <c r="C33" s="6" t="str">
        <f>RIGHT(AC7,6)&amp;LEFT(AD7,4)</f>
        <v>1111111111</v>
      </c>
      <c r="E33" s="6" t="str">
        <f t="shared" si="6"/>
        <v>3FF</v>
      </c>
      <c r="F33" s="6">
        <f t="shared" si="7"/>
        <v>1023</v>
      </c>
      <c r="G33" s="20" t="str">
        <f t="shared" si="8"/>
        <v>NA</v>
      </c>
      <c r="H33" t="s">
        <v>16</v>
      </c>
    </row>
    <row r="34" spans="1:8" x14ac:dyDescent="0.25">
      <c r="A34" s="24" t="s">
        <v>76</v>
      </c>
      <c r="B34" s="25">
        <v>10</v>
      </c>
      <c r="C34" s="6" t="str">
        <f>RIGHT(AD7,4)&amp;LEFT(AE7,6)</f>
        <v>1111111111</v>
      </c>
      <c r="E34" s="6" t="str">
        <f t="shared" si="6"/>
        <v>3FF</v>
      </c>
      <c r="F34" s="6">
        <f t="shared" si="7"/>
        <v>1023</v>
      </c>
      <c r="G34" s="20" t="str">
        <f t="shared" si="8"/>
        <v>NA</v>
      </c>
      <c r="H34" t="s">
        <v>16</v>
      </c>
    </row>
    <row r="35" spans="1:8" x14ac:dyDescent="0.25">
      <c r="A35" s="24" t="s">
        <v>78</v>
      </c>
      <c r="B35" s="25">
        <v>10</v>
      </c>
      <c r="C35" s="6" t="str">
        <f>RIGHT(AE7,2)&amp;AF7</f>
        <v>1111111111</v>
      </c>
      <c r="E35" s="6" t="str">
        <f t="shared" si="6"/>
        <v>3FF</v>
      </c>
      <c r="F35" s="6">
        <f t="shared" si="7"/>
        <v>1023</v>
      </c>
      <c r="G35" s="20" t="str">
        <f t="shared" si="8"/>
        <v>NA</v>
      </c>
      <c r="H35" t="s">
        <v>16</v>
      </c>
    </row>
    <row r="36" spans="1:8" x14ac:dyDescent="0.25">
      <c r="A36" s="24" t="s">
        <v>81</v>
      </c>
      <c r="B36" s="25">
        <v>10</v>
      </c>
      <c r="C36" s="6" t="str">
        <f>AG7&amp;LEFT(AH7,2)</f>
        <v>1111111111</v>
      </c>
      <c r="E36" s="6" t="str">
        <f t="shared" si="6"/>
        <v>3FF</v>
      </c>
      <c r="F36" s="6">
        <f t="shared" si="7"/>
        <v>1023</v>
      </c>
      <c r="G36" s="20" t="str">
        <f>IF(F36=1023,"NA",-0.5431*F36+528.5093)</f>
        <v>NA</v>
      </c>
      <c r="H36" t="s">
        <v>16</v>
      </c>
    </row>
    <row r="37" spans="1:8" x14ac:dyDescent="0.25">
      <c r="A37" s="24" t="s">
        <v>82</v>
      </c>
      <c r="B37" s="25">
        <v>10</v>
      </c>
      <c r="C37" s="6" t="str">
        <f>RIGHT(AH7,6)&amp;LEFT(AI7,4)</f>
        <v>1111111111</v>
      </c>
      <c r="E37" s="6" t="str">
        <f t="shared" si="6"/>
        <v>3FF</v>
      </c>
      <c r="F37" s="6">
        <f t="shared" si="7"/>
        <v>1023</v>
      </c>
      <c r="G37" s="20" t="str">
        <f t="shared" si="8"/>
        <v>NA</v>
      </c>
      <c r="H37" t="s">
        <v>16</v>
      </c>
    </row>
    <row r="38" spans="1:8" x14ac:dyDescent="0.25">
      <c r="A38" t="s">
        <v>83</v>
      </c>
      <c r="B38" s="30">
        <v>10</v>
      </c>
      <c r="C38" s="6" t="str">
        <f>RIGHT(AI7,4)&amp;LEFT(AJ7,6)</f>
        <v>1111111111</v>
      </c>
      <c r="E38" s="6" t="str">
        <f t="shared" si="6"/>
        <v>3FF</v>
      </c>
      <c r="F38" s="6">
        <f t="shared" si="7"/>
        <v>1023</v>
      </c>
      <c r="G38" s="20" t="str">
        <f>IF(F38=1023,"NA",-0.0148*F38+22.7614)</f>
        <v>NA</v>
      </c>
      <c r="H38" t="s">
        <v>9</v>
      </c>
    </row>
    <row r="39" spans="1:8" x14ac:dyDescent="0.25">
      <c r="A39" t="s">
        <v>84</v>
      </c>
      <c r="B39" s="31">
        <v>10</v>
      </c>
      <c r="C39" s="6" t="str">
        <f>RIGHT(AJ7,2)&amp;AK7</f>
        <v>1111111111</v>
      </c>
      <c r="E39" s="6" t="str">
        <f t="shared" si="6"/>
        <v>3FF</v>
      </c>
      <c r="F39" s="6">
        <f t="shared" si="7"/>
        <v>1023</v>
      </c>
      <c r="G39" s="20" t="str">
        <f>IF(F39=1023,"NA",-0.0148*F39+22.7614)</f>
        <v>NA</v>
      </c>
      <c r="H39" t="s">
        <v>9</v>
      </c>
    </row>
    <row r="40" spans="1:8" x14ac:dyDescent="0.25">
      <c r="A40" t="s">
        <v>85</v>
      </c>
      <c r="B40" s="31">
        <v>10</v>
      </c>
      <c r="C40" s="6" t="str">
        <f>AL7&amp;LEFT(AM7,2)</f>
        <v>1111111111</v>
      </c>
      <c r="E40" s="6" t="str">
        <f t="shared" si="6"/>
        <v>3FF</v>
      </c>
      <c r="F40" s="6">
        <f t="shared" si="7"/>
        <v>1023</v>
      </c>
      <c r="G40" s="20" t="str">
        <f>IF(F40=1023,"NA",-0.0148*F40+22.7614)</f>
        <v>NA</v>
      </c>
      <c r="H40" t="s">
        <v>9</v>
      </c>
    </row>
    <row r="41" spans="1:8" x14ac:dyDescent="0.25">
      <c r="A41" t="s">
        <v>86</v>
      </c>
      <c r="B41" s="31">
        <v>10</v>
      </c>
      <c r="C41" s="6" t="str">
        <f>RIGHT(AM7,6)&amp;LEFT(AN7,4)</f>
        <v>1111111111</v>
      </c>
      <c r="E41" s="6" t="str">
        <f t="shared" si="6"/>
        <v>3FF</v>
      </c>
      <c r="F41" s="6">
        <f t="shared" si="7"/>
        <v>1023</v>
      </c>
      <c r="G41" s="20" t="str">
        <f>IF(F41=1023,"NA",-0.0148*F41+22.7614)</f>
        <v>NA</v>
      </c>
      <c r="H41" t="s">
        <v>9</v>
      </c>
    </row>
    <row r="42" spans="1:8" x14ac:dyDescent="0.25">
      <c r="A42" s="24" t="s">
        <v>87</v>
      </c>
      <c r="B42" s="32">
        <v>2</v>
      </c>
      <c r="C42" s="33" t="str">
        <f>MID(AO7,3,2)</f>
        <v>00</v>
      </c>
      <c r="E42" s="6" t="str">
        <f>BIN2HEX(C42)</f>
        <v>0</v>
      </c>
      <c r="F42" s="6">
        <f t="shared" si="7"/>
        <v>0</v>
      </c>
      <c r="G42" t="str">
        <f>LOOKUP(F42,LookupTables!N2:O4)</f>
        <v>Disabled</v>
      </c>
    </row>
    <row r="43" spans="1:8" x14ac:dyDescent="0.25">
      <c r="A43" s="24" t="s">
        <v>88</v>
      </c>
      <c r="B43" s="32">
        <v>3</v>
      </c>
      <c r="C43" s="33" t="str">
        <f>RIGHT(AN7,1)&amp;LEFT(AO7,2)</f>
        <v>000</v>
      </c>
      <c r="E43" s="6" t="str">
        <f>BIN2HEX(C43)</f>
        <v>0</v>
      </c>
      <c r="F43" s="6">
        <f t="shared" si="7"/>
        <v>0</v>
      </c>
      <c r="G43" t="str">
        <f>LOOKUP(F43,LookupTables!N7:O12)</f>
        <v>No attitude estimation</v>
      </c>
    </row>
    <row r="44" spans="1:8" x14ac:dyDescent="0.25">
      <c r="A44" s="24" t="s">
        <v>89</v>
      </c>
      <c r="B44" s="32">
        <v>3</v>
      </c>
      <c r="C44" s="33" t="str">
        <f>MID(AN7,5,3)</f>
        <v>000</v>
      </c>
      <c r="E44" s="6" t="str">
        <f>BIN2HEX(C44)</f>
        <v>0</v>
      </c>
      <c r="F44" s="6">
        <f t="shared" si="7"/>
        <v>0</v>
      </c>
      <c r="G44" t="str">
        <f>LOOKUP(F44,LookupTables!N15:O18)</f>
        <v>No control</v>
      </c>
    </row>
    <row r="45" spans="1:8" x14ac:dyDescent="0.25">
      <c r="A45" s="24" t="s">
        <v>90</v>
      </c>
      <c r="B45" s="32">
        <v>16</v>
      </c>
      <c r="C45" s="33" t="str">
        <f>RIGHT(AO$7,4)&amp;AP$7&amp;LEFT(AQ$7,4)</f>
        <v>0000000000000000</v>
      </c>
      <c r="D45" s="33"/>
      <c r="E45" s="33" t="str">
        <f t="shared" ref="E45:E61" si="9">BIN2HEX(LEFT(C45,8),2)&amp;BIN2HEX(RIGHT(C45,8),2)</f>
        <v>0000</v>
      </c>
      <c r="F45" s="6">
        <f t="shared" si="7"/>
        <v>0</v>
      </c>
      <c r="G45" s="20">
        <f>F45*0.48828125</f>
        <v>0</v>
      </c>
      <c r="H45" t="s">
        <v>16</v>
      </c>
    </row>
    <row r="46" spans="1:8" x14ac:dyDescent="0.25">
      <c r="A46" s="24" t="s">
        <v>91</v>
      </c>
      <c r="B46" s="32">
        <v>16</v>
      </c>
      <c r="C46" s="33" t="str">
        <f>RIGHT(AQ$7,4)&amp;AR$7&amp;LEFT(AS$7,4)</f>
        <v>0000000000000000</v>
      </c>
      <c r="D46" s="33"/>
      <c r="E46" s="33" t="str">
        <f t="shared" si="9"/>
        <v>0000</v>
      </c>
      <c r="F46" s="6">
        <f t="shared" si="7"/>
        <v>0</v>
      </c>
      <c r="G46" s="20">
        <f>F46*0.48828125</f>
        <v>0</v>
      </c>
      <c r="H46" t="s">
        <v>16</v>
      </c>
    </row>
    <row r="47" spans="1:8" x14ac:dyDescent="0.25">
      <c r="A47" s="24" t="s">
        <v>92</v>
      </c>
      <c r="B47" s="32">
        <v>16</v>
      </c>
      <c r="C47" s="33" t="str">
        <f>RIGHT(AS$7,4)&amp;AT$7&amp;LEFT(AU$7,4)</f>
        <v>0000000000000000</v>
      </c>
      <c r="D47" s="33"/>
      <c r="E47" s="33" t="str">
        <f t="shared" si="9"/>
        <v>0000</v>
      </c>
      <c r="F47" s="6">
        <f t="shared" si="7"/>
        <v>0</v>
      </c>
      <c r="G47" s="20">
        <f>F47*0.48828125</f>
        <v>0</v>
      </c>
      <c r="H47" t="s">
        <v>16</v>
      </c>
    </row>
    <row r="48" spans="1:8" x14ac:dyDescent="0.25">
      <c r="A48" s="24" t="s">
        <v>93</v>
      </c>
      <c r="B48" s="32">
        <v>16</v>
      </c>
      <c r="C48" s="33" t="str">
        <f>RIGHT(AU$7,4)&amp;AV$7&amp;LEFT(AW$7,4)</f>
        <v>0000000000000000</v>
      </c>
      <c r="D48" s="33"/>
      <c r="E48" s="33" t="str">
        <f t="shared" si="9"/>
        <v>0000</v>
      </c>
      <c r="F48" s="6">
        <f t="shared" si="7"/>
        <v>0</v>
      </c>
      <c r="G48" s="20">
        <f>F48*0.1</f>
        <v>0</v>
      </c>
      <c r="H48" t="s">
        <v>16</v>
      </c>
    </row>
    <row r="49" spans="1:11" x14ac:dyDescent="0.25">
      <c r="A49" s="24" t="s">
        <v>94</v>
      </c>
      <c r="B49" s="32">
        <v>16</v>
      </c>
      <c r="C49" s="33" t="str">
        <f>RIGHT(AW$7,4)&amp;AX$7&amp;LEFT(AY$7,4)</f>
        <v>0000000000000000</v>
      </c>
      <c r="D49" s="33"/>
      <c r="E49" s="33" t="str">
        <f t="shared" si="9"/>
        <v>0000</v>
      </c>
      <c r="F49" s="6">
        <f t="shared" si="7"/>
        <v>0</v>
      </c>
      <c r="G49" s="20">
        <f>F49*0.01</f>
        <v>0</v>
      </c>
      <c r="H49" t="s">
        <v>16</v>
      </c>
    </row>
    <row r="50" spans="1:11" x14ac:dyDescent="0.25">
      <c r="A50" s="24" t="s">
        <v>95</v>
      </c>
      <c r="B50" s="32">
        <v>16</v>
      </c>
      <c r="C50" s="33" t="str">
        <f>RIGHT(AY$7,4)&amp;AZ$7&amp;LEFT(BA$7,4)</f>
        <v>0000000000000000</v>
      </c>
      <c r="D50" s="33"/>
      <c r="E50" s="33" t="str">
        <f t="shared" si="9"/>
        <v>0000</v>
      </c>
      <c r="F50" s="6">
        <f t="shared" si="7"/>
        <v>0</v>
      </c>
      <c r="G50" s="34">
        <f>(MOD(F50+2^15,2^16)-2^15)*10/1000</f>
        <v>0</v>
      </c>
      <c r="H50" t="s">
        <v>96</v>
      </c>
    </row>
    <row r="51" spans="1:11" x14ac:dyDescent="0.25">
      <c r="A51" s="24" t="s">
        <v>97</v>
      </c>
      <c r="B51" s="32">
        <v>16</v>
      </c>
      <c r="C51" s="33" t="str">
        <f>RIGHT(BA$7,4)&amp;BB$7&amp;LEFT(BC$7,4)</f>
        <v>0000000000000000</v>
      </c>
      <c r="D51" s="33"/>
      <c r="E51" s="33" t="str">
        <f t="shared" si="9"/>
        <v>0000</v>
      </c>
      <c r="F51" s="6">
        <f t="shared" si="7"/>
        <v>0</v>
      </c>
      <c r="G51" s="34">
        <f>(MOD(F51+2^15,2^16)-2^15)*10/1000</f>
        <v>0</v>
      </c>
      <c r="H51" t="s">
        <v>96</v>
      </c>
    </row>
    <row r="52" spans="1:11" x14ac:dyDescent="0.25">
      <c r="A52" s="24" t="s">
        <v>98</v>
      </c>
      <c r="B52" s="32">
        <v>16</v>
      </c>
      <c r="C52" s="33" t="str">
        <f>RIGHT(BC$7,4)&amp;BD$7&amp;LEFT(BE$7,4)</f>
        <v>0000000000000000</v>
      </c>
      <c r="D52" s="33"/>
      <c r="E52" s="33" t="str">
        <f t="shared" si="9"/>
        <v>0000</v>
      </c>
      <c r="F52" s="6">
        <f t="shared" si="7"/>
        <v>0</v>
      </c>
      <c r="G52" s="34">
        <f>(MOD(F52+2^15,2^16)-2^15)*10/1000</f>
        <v>0</v>
      </c>
      <c r="H52" t="s">
        <v>96</v>
      </c>
    </row>
    <row r="53" spans="1:11" x14ac:dyDescent="0.25">
      <c r="A53" s="24" t="s">
        <v>99</v>
      </c>
      <c r="B53" s="32">
        <v>16</v>
      </c>
      <c r="C53" s="33" t="str">
        <f>RIGHT(BE$7,4)&amp;BF$7&amp;LEFT(BG$7,4)</f>
        <v>0000000000000000</v>
      </c>
      <c r="D53" s="33"/>
      <c r="E53" s="33" t="str">
        <f t="shared" si="9"/>
        <v>0000</v>
      </c>
      <c r="F53" s="6">
        <f t="shared" si="7"/>
        <v>0</v>
      </c>
      <c r="G53" s="20">
        <f>(MOD(F53+2^15,2^16)-2^15)*0.01</f>
        <v>0</v>
      </c>
      <c r="H53" t="s">
        <v>100</v>
      </c>
    </row>
    <row r="54" spans="1:11" x14ac:dyDescent="0.25">
      <c r="A54" s="24" t="s">
        <v>101</v>
      </c>
      <c r="B54" s="32">
        <v>16</v>
      </c>
      <c r="C54" s="33" t="str">
        <f>RIGHT(BG$7,4)&amp;BH$7&amp;LEFT(BI$7,4)</f>
        <v>0000000000000000</v>
      </c>
      <c r="D54" s="33"/>
      <c r="E54" s="33" t="str">
        <f t="shared" si="9"/>
        <v>0000</v>
      </c>
      <c r="F54" s="6">
        <f t="shared" si="7"/>
        <v>0</v>
      </c>
      <c r="G54" s="20">
        <f>(MOD(F54+2^15,2^16)-2^15)</f>
        <v>0</v>
      </c>
      <c r="H54" t="s">
        <v>102</v>
      </c>
    </row>
    <row r="55" spans="1:11" x14ac:dyDescent="0.25">
      <c r="A55" s="24" t="s">
        <v>103</v>
      </c>
      <c r="B55" s="32">
        <v>16</v>
      </c>
      <c r="C55" s="33" t="str">
        <f>RIGHT(BI$7,4)&amp;BJ$7&amp;LEFT(BK$7,4)</f>
        <v>0000000000000000</v>
      </c>
      <c r="D55" s="33"/>
      <c r="E55" s="33" t="str">
        <f t="shared" si="9"/>
        <v>0000</v>
      </c>
      <c r="F55" s="6">
        <f t="shared" si="7"/>
        <v>0</v>
      </c>
      <c r="G55" s="20">
        <f t="shared" ref="G55:G60" si="10">(MOD(F55+2^15,2^16)-2^15)*0.01</f>
        <v>0</v>
      </c>
      <c r="H55" t="s">
        <v>100</v>
      </c>
      <c r="K55">
        <v>-9.3000000000000007</v>
      </c>
    </row>
    <row r="56" spans="1:11" x14ac:dyDescent="0.25">
      <c r="A56" s="24" t="s">
        <v>104</v>
      </c>
      <c r="B56" s="32">
        <v>16</v>
      </c>
      <c r="C56" s="33" t="str">
        <f>RIGHT(BK$7,4)&amp;BL$7&amp;LEFT(BM$7,4)</f>
        <v>0000000000000000</v>
      </c>
      <c r="D56" s="33"/>
      <c r="E56" s="33" t="str">
        <f t="shared" si="9"/>
        <v>0000</v>
      </c>
      <c r="F56" s="6">
        <f t="shared" si="7"/>
        <v>0</v>
      </c>
      <c r="G56" s="20">
        <f t="shared" si="10"/>
        <v>0</v>
      </c>
      <c r="H56" t="s">
        <v>100</v>
      </c>
      <c r="K56">
        <v>-167</v>
      </c>
    </row>
    <row r="57" spans="1:11" x14ac:dyDescent="0.25">
      <c r="A57" s="24" t="s">
        <v>105</v>
      </c>
      <c r="B57" s="32">
        <v>16</v>
      </c>
      <c r="C57" s="33" t="str">
        <f>RIGHT(BM$7,4)&amp;BN$7&amp;LEFT(BO$7,4)</f>
        <v>0000000000000000</v>
      </c>
      <c r="D57" s="33"/>
      <c r="E57" s="33" t="str">
        <f t="shared" si="9"/>
        <v>0000</v>
      </c>
      <c r="F57" s="6">
        <f t="shared" si="7"/>
        <v>0</v>
      </c>
      <c r="G57" s="20">
        <f t="shared" si="10"/>
        <v>0</v>
      </c>
      <c r="H57" t="s">
        <v>100</v>
      </c>
      <c r="K57">
        <v>93.9</v>
      </c>
    </row>
    <row r="58" spans="1:11" x14ac:dyDescent="0.25">
      <c r="A58" s="24" t="s">
        <v>106</v>
      </c>
      <c r="B58" s="32">
        <v>16</v>
      </c>
      <c r="C58" s="33" t="str">
        <f>RIGHT(BO$7,4)&amp;BP$7&amp;LEFT(BQ$7,4)</f>
        <v>0000000000000000</v>
      </c>
      <c r="D58" s="33"/>
      <c r="E58" s="33" t="str">
        <f t="shared" si="9"/>
        <v>0000</v>
      </c>
      <c r="F58" s="6">
        <f t="shared" si="7"/>
        <v>0</v>
      </c>
      <c r="G58" s="20">
        <f t="shared" si="10"/>
        <v>0</v>
      </c>
      <c r="H58" t="s">
        <v>100</v>
      </c>
      <c r="K58">
        <v>0.36</v>
      </c>
    </row>
    <row r="59" spans="1:11" x14ac:dyDescent="0.25">
      <c r="A59" s="24" t="s">
        <v>107</v>
      </c>
      <c r="B59" s="32">
        <v>16</v>
      </c>
      <c r="C59" s="33" t="str">
        <f>RIGHT(BQ$7,4)&amp;BR$7&amp;LEFT(BS$7,4)</f>
        <v>0000000000000000</v>
      </c>
      <c r="D59" s="33"/>
      <c r="E59" s="33" t="str">
        <f t="shared" si="9"/>
        <v>0000</v>
      </c>
      <c r="F59" s="6">
        <f t="shared" si="7"/>
        <v>0</v>
      </c>
      <c r="G59" s="20">
        <f t="shared" si="10"/>
        <v>0</v>
      </c>
      <c r="H59" t="s">
        <v>100</v>
      </c>
      <c r="K59">
        <v>1.79</v>
      </c>
    </row>
    <row r="60" spans="1:11" x14ac:dyDescent="0.25">
      <c r="A60" s="24" t="s">
        <v>108</v>
      </c>
      <c r="B60" s="32">
        <v>16</v>
      </c>
      <c r="C60" s="33" t="str">
        <f>RIGHT(BS$7,4)&amp;BT$7&amp;LEFT(BU$7,4)</f>
        <v>0000000000000000</v>
      </c>
      <c r="D60" s="33"/>
      <c r="E60" s="33" t="str">
        <f t="shared" si="9"/>
        <v>0000</v>
      </c>
      <c r="F60" s="6">
        <f t="shared" si="7"/>
        <v>0</v>
      </c>
      <c r="G60" s="20">
        <f t="shared" si="10"/>
        <v>0</v>
      </c>
      <c r="H60" t="s">
        <v>100</v>
      </c>
      <c r="K60">
        <v>-5.04</v>
      </c>
    </row>
    <row r="61" spans="1:11" x14ac:dyDescent="0.25">
      <c r="A61" s="24" t="s">
        <v>109</v>
      </c>
      <c r="B61" s="32">
        <v>16</v>
      </c>
      <c r="C61" s="33" t="str">
        <f>RIGHT(BU$7,4)&amp;BV$7&amp;LEFT(BW$7,4)</f>
        <v>0000000000000000</v>
      </c>
      <c r="D61" s="33"/>
      <c r="E61" s="33" t="str">
        <f t="shared" si="9"/>
        <v>0000</v>
      </c>
      <c r="G61" s="20">
        <f>HEX2DEC(E61)</f>
        <v>0</v>
      </c>
      <c r="H61" t="s">
        <v>12</v>
      </c>
    </row>
  </sheetData>
  <mergeCells count="1">
    <mergeCell ref="A1:D1"/>
  </mergeCells>
  <conditionalFormatting sqref="G24:AF24">
    <cfRule type="cellIs" dxfId="3" priority="3" operator="equal">
      <formula>0</formula>
    </cfRule>
    <cfRule type="cellIs" dxfId="2" priority="4" operator="equal">
      <formula>1</formula>
    </cfRule>
  </conditionalFormatting>
  <conditionalFormatting sqref="G27:N27 P27:S27">
    <cfRule type="notContainsText" dxfId="1" priority="1" operator="notContains" text="Not">
      <formula>ISERROR(SEARCH("Not",G27))</formula>
    </cfRule>
    <cfRule type="containsText" dxfId="0" priority="2" operator="containsText" text="Not">
      <formula>NOT(ISERROR(SEARCH("Not",G27)))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AFBDB-4A49-44F3-8789-A1EEAB87BE08}">
  <dimension ref="A1:O18"/>
  <sheetViews>
    <sheetView workbookViewId="0">
      <selection activeCell="A3" sqref="A3"/>
    </sheetView>
  </sheetViews>
  <sheetFormatPr defaultRowHeight="15" x14ac:dyDescent="0.25"/>
  <sheetData>
    <row r="1" spans="1:15" x14ac:dyDescent="0.25">
      <c r="A1" s="35" t="s">
        <v>110</v>
      </c>
      <c r="B1" s="36"/>
      <c r="D1" s="35" t="s">
        <v>111</v>
      </c>
      <c r="E1" s="36"/>
      <c r="J1" t="s">
        <v>112</v>
      </c>
      <c r="N1" t="s">
        <v>113</v>
      </c>
    </row>
    <row r="2" spans="1:15" x14ac:dyDescent="0.25">
      <c r="A2" s="37">
        <v>0</v>
      </c>
      <c r="B2" s="38" t="s">
        <v>114</v>
      </c>
      <c r="D2" s="37">
        <v>0</v>
      </c>
      <c r="E2" s="38" t="s">
        <v>115</v>
      </c>
      <c r="J2">
        <v>0</v>
      </c>
      <c r="K2" t="s">
        <v>116</v>
      </c>
      <c r="N2">
        <v>0</v>
      </c>
      <c r="O2" t="s">
        <v>117</v>
      </c>
    </row>
    <row r="3" spans="1:15" x14ac:dyDescent="0.25">
      <c r="A3" s="37">
        <v>1</v>
      </c>
      <c r="B3" s="38" t="s">
        <v>118</v>
      </c>
      <c r="D3" s="37">
        <v>1</v>
      </c>
      <c r="E3" s="38" t="s">
        <v>119</v>
      </c>
      <c r="J3">
        <v>1</v>
      </c>
      <c r="K3" t="s">
        <v>120</v>
      </c>
      <c r="N3">
        <v>1</v>
      </c>
      <c r="O3" t="s">
        <v>121</v>
      </c>
    </row>
    <row r="4" spans="1:15" x14ac:dyDescent="0.25">
      <c r="A4" s="37">
        <v>2</v>
      </c>
      <c r="B4" s="38" t="s">
        <v>122</v>
      </c>
      <c r="D4" s="37">
        <v>2</v>
      </c>
      <c r="E4" s="38" t="s">
        <v>123</v>
      </c>
      <c r="N4">
        <v>2</v>
      </c>
      <c r="O4" t="s">
        <v>124</v>
      </c>
    </row>
    <row r="5" spans="1:15" x14ac:dyDescent="0.25">
      <c r="A5" s="37">
        <v>3</v>
      </c>
      <c r="B5" s="38" t="s">
        <v>125</v>
      </c>
      <c r="D5" s="37">
        <v>3</v>
      </c>
      <c r="E5" s="38" t="s">
        <v>126</v>
      </c>
      <c r="J5" t="s">
        <v>127</v>
      </c>
    </row>
    <row r="6" spans="1:15" x14ac:dyDescent="0.25">
      <c r="A6" s="37">
        <v>4</v>
      </c>
      <c r="B6" s="38" t="s">
        <v>128</v>
      </c>
      <c r="D6" s="37">
        <v>4</v>
      </c>
      <c r="E6" s="38" t="s">
        <v>129</v>
      </c>
      <c r="J6">
        <v>0</v>
      </c>
      <c r="K6" t="s">
        <v>130</v>
      </c>
      <c r="N6" t="s">
        <v>131</v>
      </c>
    </row>
    <row r="7" spans="1:15" x14ac:dyDescent="0.25">
      <c r="A7" s="37">
        <v>5</v>
      </c>
      <c r="B7" s="38" t="s">
        <v>132</v>
      </c>
      <c r="D7" s="37">
        <v>5</v>
      </c>
      <c r="E7" s="38" t="s">
        <v>133</v>
      </c>
      <c r="J7">
        <v>1</v>
      </c>
      <c r="K7" t="s">
        <v>134</v>
      </c>
      <c r="N7">
        <v>0</v>
      </c>
      <c r="O7" s="26" t="s">
        <v>135</v>
      </c>
    </row>
    <row r="8" spans="1:15" x14ac:dyDescent="0.25">
      <c r="A8" s="37">
        <v>6</v>
      </c>
      <c r="B8" s="38" t="s">
        <v>136</v>
      </c>
      <c r="D8" s="37">
        <v>6</v>
      </c>
      <c r="E8" s="38" t="s">
        <v>39</v>
      </c>
      <c r="N8">
        <v>1</v>
      </c>
      <c r="O8" s="26" t="s">
        <v>137</v>
      </c>
    </row>
    <row r="9" spans="1:15" x14ac:dyDescent="0.25">
      <c r="A9" s="37">
        <v>7</v>
      </c>
      <c r="B9" s="38" t="s">
        <v>138</v>
      </c>
      <c r="D9" s="39">
        <v>7</v>
      </c>
      <c r="E9" s="40" t="s">
        <v>139</v>
      </c>
      <c r="J9" t="s">
        <v>140</v>
      </c>
      <c r="N9">
        <v>2</v>
      </c>
      <c r="O9" s="26" t="s">
        <v>141</v>
      </c>
    </row>
    <row r="10" spans="1:15" x14ac:dyDescent="0.25">
      <c r="A10" s="39">
        <v>8</v>
      </c>
      <c r="B10" s="40" t="s">
        <v>142</v>
      </c>
      <c r="J10">
        <v>0</v>
      </c>
      <c r="K10" t="s">
        <v>143</v>
      </c>
      <c r="N10">
        <v>3</v>
      </c>
      <c r="O10" s="26" t="s">
        <v>144</v>
      </c>
    </row>
    <row r="11" spans="1:15" x14ac:dyDescent="0.25">
      <c r="J11">
        <v>1</v>
      </c>
      <c r="K11" t="s">
        <v>145</v>
      </c>
      <c r="N11">
        <v>4</v>
      </c>
      <c r="O11" s="26" t="s">
        <v>146</v>
      </c>
    </row>
    <row r="12" spans="1:15" x14ac:dyDescent="0.25">
      <c r="N12">
        <v>5</v>
      </c>
      <c r="O12" s="26" t="s">
        <v>147</v>
      </c>
    </row>
    <row r="14" spans="1:15" x14ac:dyDescent="0.25">
      <c r="N14" t="s">
        <v>148</v>
      </c>
    </row>
    <row r="15" spans="1:15" x14ac:dyDescent="0.25">
      <c r="N15">
        <v>0</v>
      </c>
      <c r="O15" s="26" t="s">
        <v>149</v>
      </c>
    </row>
    <row r="16" spans="1:15" x14ac:dyDescent="0.25">
      <c r="N16">
        <v>2</v>
      </c>
      <c r="O16" s="26" t="s">
        <v>150</v>
      </c>
    </row>
    <row r="17" spans="14:15" x14ac:dyDescent="0.25">
      <c r="N17">
        <v>3</v>
      </c>
      <c r="O17" s="26" t="s">
        <v>151</v>
      </c>
    </row>
    <row r="18" spans="14:15" x14ac:dyDescent="0.25">
      <c r="N18">
        <v>4</v>
      </c>
      <c r="O18" s="26" t="s">
        <v>152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54CE9-83CD-45E8-B598-627915539F18}">
  <dimension ref="A1:B13"/>
  <sheetViews>
    <sheetView workbookViewId="0"/>
  </sheetViews>
  <sheetFormatPr defaultRowHeight="15" x14ac:dyDescent="0.25"/>
  <cols>
    <col min="1" max="1" width="76.42578125" customWidth="1"/>
  </cols>
  <sheetData>
    <row r="1" spans="1:2" ht="75" x14ac:dyDescent="0.25">
      <c r="A1" s="42" t="s">
        <v>155</v>
      </c>
    </row>
    <row r="3" spans="1:2" ht="75" x14ac:dyDescent="0.25">
      <c r="A3" s="42" t="s">
        <v>156</v>
      </c>
    </row>
    <row r="5" spans="1:2" ht="75" x14ac:dyDescent="0.25">
      <c r="A5" s="42" t="s">
        <v>157</v>
      </c>
    </row>
    <row r="7" spans="1:2" ht="60" x14ac:dyDescent="0.25">
      <c r="A7" s="42" t="s">
        <v>158</v>
      </c>
    </row>
    <row r="9" spans="1:2" ht="60" x14ac:dyDescent="0.25">
      <c r="A9" s="42" t="s">
        <v>159</v>
      </c>
    </row>
    <row r="11" spans="1:2" ht="60" x14ac:dyDescent="0.25">
      <c r="A11" s="42" t="s">
        <v>154</v>
      </c>
      <c r="B11" t="s">
        <v>160</v>
      </c>
    </row>
    <row r="13" spans="1:2" ht="30" x14ac:dyDescent="0.25">
      <c r="A13" s="42" t="s">
        <v>153</v>
      </c>
      <c r="B13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BeaconDecoder</vt:lpstr>
      <vt:lpstr>LookupTables</vt:lpstr>
      <vt:lpstr>ExamplesBCN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Amandine Denis</dc:creator>
  <cp:lastModifiedBy>Amandine Denis</cp:lastModifiedBy>
  <dcterms:created xsi:type="dcterms:W3CDTF">2020-01-06T10:14:13Z</dcterms:created>
  <dcterms:modified xsi:type="dcterms:W3CDTF">2020-01-08T14:34:49Z</dcterms:modified>
</cp:coreProperties>
</file>